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Password="F58B" lockStructure="1"/>
  <bookViews>
    <workbookView xWindow="0" yWindow="0" windowWidth="20490" windowHeight="7755" tabRatio="836" firstSheet="14" activeTab="15"/>
  </bookViews>
  <sheets>
    <sheet name="0. Consultation" sheetId="65" r:id="rId1"/>
    <sheet name="1. General Data" sheetId="21" r:id="rId2"/>
    <sheet name="2. LB data" sheetId="22" r:id="rId3"/>
    <sheet name="2. B1 data" sheetId="42" r:id="rId4"/>
    <sheet name="2. B2 data" sheetId="43" r:id="rId5"/>
    <sheet name="2. B3 data" sheetId="44" r:id="rId6"/>
    <sheet name="2. B4 data" sheetId="45" r:id="rId7"/>
    <sheet name="2. B5 data" sheetId="46" r:id="rId8"/>
    <sheet name="2. B6 data" sheetId="47" r:id="rId9"/>
    <sheet name="2. B7 data" sheetId="48" r:id="rId10"/>
    <sheet name="3. Supporting stakeholders" sheetId="23" r:id="rId11"/>
    <sheet name="4. Project summary" sheetId="31" r:id="rId12"/>
    <sheet name="5. Project description" sheetId="34" r:id="rId13"/>
    <sheet name="6. Project Activities" sheetId="56" r:id="rId14"/>
    <sheet name="7. Indicators" sheetId="40" r:id="rId15"/>
    <sheet name="8 LB budget" sheetId="63" r:id="rId16"/>
    <sheet name="8. B1 budget" sheetId="62" r:id="rId17"/>
    <sheet name="8. B2 budget" sheetId="61" r:id="rId18"/>
    <sheet name="8. B3 budget" sheetId="60" r:id="rId19"/>
    <sheet name="8. B4 budget" sheetId="59" r:id="rId20"/>
    <sheet name="8. B5 budget" sheetId="64" r:id="rId21"/>
    <sheet name="8. B6 budget" sheetId="58" r:id="rId22"/>
    <sheet name="8. B7 budget" sheetId="55" r:id="rId23"/>
    <sheet name="9. Project budget summary" sheetId="25" r:id="rId24"/>
    <sheet name="10. Sources of funding" sheetId="26" r:id="rId25"/>
    <sheet name="11. Payment forecast" sheetId="27" r:id="rId26"/>
    <sheet name="12. Area of impl.,Permits,Works" sheetId="29" r:id="rId27"/>
    <sheet name="13. Information and publicity" sheetId="66" r:id="rId28"/>
    <sheet name="14. Project staff" sheetId="67" r:id="rId29"/>
    <sheet name="15. Certification" sheetId="57" r:id="rId30"/>
  </sheets>
  <definedNames>
    <definedName name="_xlnm.Print_Titles" localSheetId="26">'12. Area of impl.,Permits,Works'!$1:$2</definedName>
    <definedName name="_xlnm.Print_Titles" localSheetId="27">'13. Information and publicity'!$11:$11</definedName>
    <definedName name="_xlnm.Print_Titles" localSheetId="28">'14. Project staff'!$1:$2</definedName>
    <definedName name="_xlnm.Print_Titles" localSheetId="3">'2. B1 data'!$2:$3</definedName>
    <definedName name="_xlnm.Print_Titles" localSheetId="4">'2. B2 data'!$2:$3</definedName>
    <definedName name="_xlnm.Print_Titles" localSheetId="5">'2. B3 data'!$2:$3</definedName>
    <definedName name="_xlnm.Print_Titles" localSheetId="6">'2. B4 data'!$2:$3</definedName>
    <definedName name="_xlnm.Print_Titles" localSheetId="7">'2. B5 data'!$2:$3</definedName>
    <definedName name="_xlnm.Print_Titles" localSheetId="8">'2. B6 data'!$2:$3</definedName>
    <definedName name="_xlnm.Print_Titles" localSheetId="9">'2. B7 data'!$2:$3</definedName>
    <definedName name="_xlnm.Print_Titles" localSheetId="2">'2. LB data'!$2:$3</definedName>
    <definedName name="_xlnm.Print_Titles" localSheetId="10">'3. Supporting stakeholders'!$2:$3</definedName>
    <definedName name="_xlnm.Print_Titles" localSheetId="11">'4. Project summary'!$1:$2</definedName>
    <definedName name="_xlnm.Print_Titles" localSheetId="12">'5. Project description'!$2:$3</definedName>
    <definedName name="_xlnm.Print_Titles" localSheetId="13">'6. Project Activities'!$A:$A,'6. Project Activities'!$9:$9</definedName>
    <definedName name="_xlnm.Print_Titles" localSheetId="14">'7. Indicators'!$31:$31</definedName>
    <definedName name="_xlnm.Print_Area" localSheetId="0">'0. Consultation'!$A$1:$H$61</definedName>
    <definedName name="_xlnm.Print_Area" localSheetId="24">'10. Sources of funding'!$A$1:$AK$38</definedName>
    <definedName name="_xlnm.Print_Area" localSheetId="25">'11. Payment forecast'!$A$1:$R$55</definedName>
    <definedName name="_xlnm.Print_Area" localSheetId="26">'12. Area of impl.,Permits,Works'!$A$1:$M$56</definedName>
    <definedName name="_xlnm.Print_Area" localSheetId="27">'13. Information and publicity'!$A$1:$E$62</definedName>
    <definedName name="_xlnm.Print_Area" localSheetId="28">'14. Project staff'!$A$1:$I$42</definedName>
    <definedName name="_xlnm.Print_Area" localSheetId="29">'15. Certification'!$A$1:$C$26</definedName>
    <definedName name="_xlnm.Print_Area" localSheetId="3">'2. B1 data'!$A$2:$F$108</definedName>
    <definedName name="_xlnm.Print_Area" localSheetId="4">'2. B2 data'!$A$2:$F$108</definedName>
    <definedName name="_xlnm.Print_Area" localSheetId="5">'2. B3 data'!$A$2:$F$108</definedName>
    <definedName name="_xlnm.Print_Area" localSheetId="6">'2. B4 data'!$A$2:$F$108</definedName>
    <definedName name="_xlnm.Print_Area" localSheetId="7">'2. B5 data'!$A$2:$F$108</definedName>
    <definedName name="_xlnm.Print_Area" localSheetId="8">'2. B6 data'!$A$2:$F$108</definedName>
    <definedName name="_xlnm.Print_Area" localSheetId="9">'2. B7 data'!$A$2:$F$108</definedName>
    <definedName name="_xlnm.Print_Area" localSheetId="2">'2. LB data'!$A$2:$F$108</definedName>
    <definedName name="_xlnm.Print_Area" localSheetId="10">'3. Supporting stakeholders'!$A$2:$F$97</definedName>
    <definedName name="_xlnm.Print_Area" localSheetId="11">'4. Project summary'!$1:$9</definedName>
    <definedName name="_xlnm.Print_Area" localSheetId="13">'6. Project Activities'!$A$1:$H$29</definedName>
    <definedName name="_xlnm.Print_Area" localSheetId="14">'7. Indicators'!$A$1:$H$109</definedName>
    <definedName name="_xlnm.Print_Area" localSheetId="15">'8 LB budget'!$A$1:$N$260</definedName>
    <definedName name="_xlnm.Print_Area" localSheetId="16">'8. B1 budget'!$A$1:$N$260</definedName>
    <definedName name="_xlnm.Print_Area" localSheetId="17">'8. B2 budget'!$A$1:$N$260</definedName>
    <definedName name="_xlnm.Print_Area" localSheetId="18">'8. B3 budget'!$A$1:$N$260</definedName>
    <definedName name="_xlnm.Print_Area" localSheetId="19">'8. B4 budget'!$A$1:$N$260</definedName>
    <definedName name="_xlnm.Print_Area" localSheetId="20">'8. B5 budget'!$A$1:$N$260</definedName>
    <definedName name="_xlnm.Print_Area" localSheetId="21">'8. B6 budget'!$A$1:$N$260</definedName>
    <definedName name="_xlnm.Print_Area" localSheetId="22">'8. B7 budget'!$A$1:$N$260</definedName>
    <definedName name="_xlnm.Print_Area" localSheetId="23">'9. Project budget summary'!$A$1:$V$43</definedName>
  </definedNames>
  <calcPr calcId="152511"/>
  <customWorkbookViews>
    <customWorkbookView name="Kalmár Péter - Egyéni nézet" guid="{4294A7B0-B763-4EB2-8D6B-C013202933D7}" mergeInterval="0" personalView="1" maximized="1" windowWidth="1020" windowHeight="577" tabRatio="836" activeSheetId="7" showComments="commIndAndComment"/>
    <customWorkbookView name="raczp - Egyéni látvány" guid="{1E5D305B-E591-4B13-9B31-B7681220FFEF}" mergeInterval="0" personalView="1" maximized="1" windowWidth="1276" windowHeight="660" tabRatio="836" activeSheetId="3"/>
    <customWorkbookView name="RozsaDiana - Egyéni nézet" guid="{DF5A9B95-55E1-465E-BB8C-E3BF17F75A20}" mergeInterval="0" personalView="1" maximized="1" windowWidth="1020" windowHeight="577" tabRatio="836" activeSheetId="11" showComments="commIndAndComment"/>
    <customWorkbookView name="CelanTvrtkoJosip - Personal View" guid="{891F6005-69FA-43E2-9A5A-6328992E9B90}" mergeInterval="0" personalView="1" maximized="1" windowWidth="1276" windowHeight="852" tabRatio="836" activeSheetId="1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F67" i="40" l="1"/>
  <c r="H52" i="61"/>
  <c r="H51" i="61"/>
  <c r="L51" i="61" s="1"/>
  <c r="H52" i="62"/>
  <c r="H51" i="62"/>
  <c r="V200" i="55"/>
  <c r="V201" i="55"/>
  <c r="V202" i="55"/>
  <c r="V203" i="55"/>
  <c r="L23" i="55"/>
  <c r="T23" i="55" s="1"/>
  <c r="L24" i="55"/>
  <c r="S24" i="55" s="1"/>
  <c r="L25" i="55"/>
  <c r="T25" i="55" s="1"/>
  <c r="L26" i="55"/>
  <c r="R26" i="55" s="1"/>
  <c r="L27" i="55"/>
  <c r="L28" i="55"/>
  <c r="R28" i="55" s="1"/>
  <c r="L29" i="55"/>
  <c r="T29" i="55" s="1"/>
  <c r="L30" i="55"/>
  <c r="R30" i="55" s="1"/>
  <c r="L31" i="55"/>
  <c r="L32" i="55"/>
  <c r="R32" i="55" s="1"/>
  <c r="L33" i="55"/>
  <c r="T33" i="55" s="1"/>
  <c r="L34" i="55"/>
  <c r="R34" i="55" s="1"/>
  <c r="L35" i="55"/>
  <c r="L36" i="55"/>
  <c r="R36" i="55" s="1"/>
  <c r="L37" i="55"/>
  <c r="T37" i="55" s="1"/>
  <c r="D5" i="55"/>
  <c r="V200" i="58"/>
  <c r="V201" i="58"/>
  <c r="V202" i="58"/>
  <c r="V203" i="58"/>
  <c r="L23" i="58"/>
  <c r="L24" i="58"/>
  <c r="L25" i="58"/>
  <c r="L26" i="58"/>
  <c r="L27" i="58"/>
  <c r="L28" i="58"/>
  <c r="L29" i="58"/>
  <c r="L30" i="58"/>
  <c r="L31" i="58"/>
  <c r="L32" i="58"/>
  <c r="L33" i="58"/>
  <c r="L34" i="58"/>
  <c r="L35" i="58"/>
  <c r="L36" i="58"/>
  <c r="L37" i="58"/>
  <c r="D5" i="58"/>
  <c r="V200" i="64"/>
  <c r="V201" i="64"/>
  <c r="V202" i="64"/>
  <c r="V203" i="64"/>
  <c r="D5" i="64"/>
  <c r="L23" i="64"/>
  <c r="L24" i="64"/>
  <c r="L25" i="64"/>
  <c r="L26" i="64"/>
  <c r="L27" i="64"/>
  <c r="L28" i="64"/>
  <c r="L29" i="64"/>
  <c r="L30" i="64"/>
  <c r="L31" i="64"/>
  <c r="L32" i="64"/>
  <c r="L33" i="64"/>
  <c r="L34" i="64"/>
  <c r="L35" i="64"/>
  <c r="L36" i="64"/>
  <c r="L37" i="64"/>
  <c r="V200" i="59"/>
  <c r="V201" i="59"/>
  <c r="V202" i="59"/>
  <c r="V203" i="59"/>
  <c r="D5" i="59"/>
  <c r="L23" i="59"/>
  <c r="L24" i="59"/>
  <c r="L25" i="59"/>
  <c r="L26" i="59"/>
  <c r="L27" i="59"/>
  <c r="T27" i="59" s="1"/>
  <c r="L28" i="59"/>
  <c r="L29" i="59"/>
  <c r="L30" i="59"/>
  <c r="L31" i="59"/>
  <c r="L32" i="59"/>
  <c r="L33" i="59"/>
  <c r="L34" i="59"/>
  <c r="L35" i="59"/>
  <c r="T35" i="59" s="1"/>
  <c r="L36" i="59"/>
  <c r="L37" i="59"/>
  <c r="V200" i="60"/>
  <c r="V201" i="60"/>
  <c r="V202" i="60"/>
  <c r="V203" i="60"/>
  <c r="D5" i="60"/>
  <c r="L23" i="60"/>
  <c r="L24" i="60"/>
  <c r="R24" i="60" s="1"/>
  <c r="L25" i="60"/>
  <c r="L26" i="60"/>
  <c r="L27" i="60"/>
  <c r="L28" i="60"/>
  <c r="S28" i="60" s="1"/>
  <c r="L29" i="60"/>
  <c r="L30" i="60"/>
  <c r="L31" i="60"/>
  <c r="L32" i="60"/>
  <c r="T32" i="60" s="1"/>
  <c r="L33" i="60"/>
  <c r="L34" i="60"/>
  <c r="L35" i="60"/>
  <c r="L36" i="60"/>
  <c r="L37" i="60"/>
  <c r="V200" i="61"/>
  <c r="V201" i="61"/>
  <c r="V202" i="61"/>
  <c r="V203" i="61"/>
  <c r="L23" i="61"/>
  <c r="L24" i="61"/>
  <c r="L25" i="61"/>
  <c r="R25" i="61" s="1"/>
  <c r="L26" i="61"/>
  <c r="L27" i="61"/>
  <c r="L28" i="61"/>
  <c r="L29" i="61"/>
  <c r="L30" i="61"/>
  <c r="L31" i="61"/>
  <c r="L32" i="61"/>
  <c r="L33" i="61"/>
  <c r="R33" i="61" s="1"/>
  <c r="L34" i="61"/>
  <c r="L35" i="61"/>
  <c r="L36" i="61"/>
  <c r="L37" i="61"/>
  <c r="D5" i="61"/>
  <c r="V200" i="62"/>
  <c r="V201" i="62"/>
  <c r="V202" i="62"/>
  <c r="V203" i="62"/>
  <c r="L23" i="62"/>
  <c r="R23" i="62" s="1"/>
  <c r="L24" i="62"/>
  <c r="L25" i="62"/>
  <c r="T25" i="62" s="1"/>
  <c r="L26" i="62"/>
  <c r="T26" i="62" s="1"/>
  <c r="L27" i="62"/>
  <c r="T27" i="62" s="1"/>
  <c r="L28" i="62"/>
  <c r="T28" i="62" s="1"/>
  <c r="L29" i="62"/>
  <c r="T29" i="62" s="1"/>
  <c r="L30" i="62"/>
  <c r="T30" i="62" s="1"/>
  <c r="L31" i="62"/>
  <c r="R31" i="62" s="1"/>
  <c r="L32" i="62"/>
  <c r="T32" i="62" s="1"/>
  <c r="L33" i="62"/>
  <c r="T33" i="62" s="1"/>
  <c r="L34" i="62"/>
  <c r="T34" i="62" s="1"/>
  <c r="L35" i="62"/>
  <c r="T35" i="62" s="1"/>
  <c r="L36" i="62"/>
  <c r="T36" i="62" s="1"/>
  <c r="L37" i="62"/>
  <c r="T37" i="62" s="1"/>
  <c r="D5" i="62"/>
  <c r="V200" i="63"/>
  <c r="V201" i="63"/>
  <c r="V202" i="63"/>
  <c r="V203" i="63"/>
  <c r="L23" i="63"/>
  <c r="L24" i="63"/>
  <c r="R24" i="63" s="1"/>
  <c r="L25" i="63"/>
  <c r="L26" i="63"/>
  <c r="S26" i="63" s="1"/>
  <c r="L27" i="63"/>
  <c r="L28" i="63"/>
  <c r="R28" i="63" s="1"/>
  <c r="L29" i="63"/>
  <c r="L30" i="63"/>
  <c r="S30" i="63" s="1"/>
  <c r="L31" i="63"/>
  <c r="T31" i="63" s="1"/>
  <c r="L32" i="63"/>
  <c r="R32" i="63" s="1"/>
  <c r="L33" i="63"/>
  <c r="L34" i="63"/>
  <c r="S34" i="63" s="1"/>
  <c r="L35" i="63"/>
  <c r="T35" i="63" s="1"/>
  <c r="L36" i="63"/>
  <c r="R36" i="63" s="1"/>
  <c r="L37" i="63"/>
  <c r="D5" i="63"/>
  <c r="H182" i="63"/>
  <c r="L182" i="63" s="1"/>
  <c r="S28" i="21"/>
  <c r="R28" i="21"/>
  <c r="C10" i="65"/>
  <c r="A8" i="65"/>
  <c r="K50" i="67"/>
  <c r="L50" i="67" s="1"/>
  <c r="K48" i="67"/>
  <c r="L48" i="67" s="1"/>
  <c r="K46" i="67"/>
  <c r="L46" i="67" s="1"/>
  <c r="K44" i="67"/>
  <c r="L44" i="67" s="1"/>
  <c r="L14" i="62"/>
  <c r="L14" i="61"/>
  <c r="N14" i="61" s="1"/>
  <c r="L14" i="60"/>
  <c r="L14" i="59"/>
  <c r="Q14" i="59" s="1"/>
  <c r="L14" i="64"/>
  <c r="L14" i="58"/>
  <c r="L14" i="55"/>
  <c r="L101" i="40"/>
  <c r="L109" i="40"/>
  <c r="L107" i="40"/>
  <c r="L105" i="40"/>
  <c r="L103" i="40"/>
  <c r="J109" i="40"/>
  <c r="J107" i="40"/>
  <c r="J105" i="40"/>
  <c r="J103" i="40"/>
  <c r="J101" i="40"/>
  <c r="T23" i="62"/>
  <c r="T31" i="62"/>
  <c r="S23" i="62"/>
  <c r="S24" i="62"/>
  <c r="S25" i="62"/>
  <c r="S26" i="62"/>
  <c r="S27" i="62"/>
  <c r="S28" i="62"/>
  <c r="S29" i="62"/>
  <c r="S30" i="62"/>
  <c r="S31" i="62"/>
  <c r="S32" i="62"/>
  <c r="S33" i="62"/>
  <c r="S34" i="62"/>
  <c r="S35" i="62"/>
  <c r="S36" i="62"/>
  <c r="S37" i="62"/>
  <c r="R26" i="62"/>
  <c r="R28" i="62"/>
  <c r="R30" i="62"/>
  <c r="R32" i="62"/>
  <c r="R34" i="62"/>
  <c r="R36" i="62"/>
  <c r="T24" i="61"/>
  <c r="T26" i="61"/>
  <c r="T28" i="61"/>
  <c r="T30" i="61"/>
  <c r="T32" i="61"/>
  <c r="T33" i="61"/>
  <c r="T34" i="61"/>
  <c r="T36" i="61"/>
  <c r="S24" i="61"/>
  <c r="S26" i="61"/>
  <c r="S28" i="61"/>
  <c r="S30" i="61"/>
  <c r="S32" i="61"/>
  <c r="S34" i="61"/>
  <c r="S36" i="61"/>
  <c r="R24" i="61"/>
  <c r="R26" i="61"/>
  <c r="R28" i="61"/>
  <c r="R30" i="61"/>
  <c r="R32" i="61"/>
  <c r="R34" i="61"/>
  <c r="R36" i="61"/>
  <c r="T28" i="60"/>
  <c r="S24" i="60"/>
  <c r="S32" i="60"/>
  <c r="R28" i="60"/>
  <c r="T23" i="59"/>
  <c r="T25" i="59"/>
  <c r="T29" i="59"/>
  <c r="T31" i="59"/>
  <c r="T33" i="59"/>
  <c r="T37" i="59"/>
  <c r="S23" i="59"/>
  <c r="S25" i="59"/>
  <c r="S29" i="59"/>
  <c r="S31" i="59"/>
  <c r="S33" i="59"/>
  <c r="S37" i="59"/>
  <c r="R23" i="59"/>
  <c r="R25" i="59"/>
  <c r="R29" i="59"/>
  <c r="R31" i="59"/>
  <c r="R33" i="59"/>
  <c r="R37" i="59"/>
  <c r="T23" i="64"/>
  <c r="T25" i="64"/>
  <c r="T27" i="64"/>
  <c r="T29" i="64"/>
  <c r="T31" i="64"/>
  <c r="T33" i="64"/>
  <c r="T35" i="64"/>
  <c r="T37" i="64"/>
  <c r="S23" i="64"/>
  <c r="S25" i="64"/>
  <c r="S27" i="64"/>
  <c r="S29" i="64"/>
  <c r="S31" i="64"/>
  <c r="S33" i="64"/>
  <c r="S35" i="64"/>
  <c r="S37" i="64"/>
  <c r="R23" i="64"/>
  <c r="R25" i="64"/>
  <c r="R27" i="64"/>
  <c r="R29" i="64"/>
  <c r="R31" i="64"/>
  <c r="R33" i="64"/>
  <c r="R35" i="64"/>
  <c r="R37" i="64"/>
  <c r="T24" i="58"/>
  <c r="T26" i="58"/>
  <c r="T28" i="58"/>
  <c r="T30" i="58"/>
  <c r="T32" i="58"/>
  <c r="T34" i="58"/>
  <c r="T36" i="58"/>
  <c r="S24" i="58"/>
  <c r="S26" i="58"/>
  <c r="S28" i="58"/>
  <c r="S30" i="58"/>
  <c r="S32" i="58"/>
  <c r="S34" i="58"/>
  <c r="S36" i="58"/>
  <c r="R24" i="58"/>
  <c r="R26" i="58"/>
  <c r="R28" i="58"/>
  <c r="R30" i="58"/>
  <c r="R32" i="58"/>
  <c r="R34" i="58"/>
  <c r="R36" i="58"/>
  <c r="L255" i="63"/>
  <c r="T255" i="63" s="1"/>
  <c r="L256" i="63"/>
  <c r="L257" i="63"/>
  <c r="L258" i="63"/>
  <c r="S258" i="63" s="1"/>
  <c r="T257" i="63"/>
  <c r="L181" i="63"/>
  <c r="T181" i="63" s="1"/>
  <c r="L183" i="63"/>
  <c r="R183" i="63" s="1"/>
  <c r="L184" i="63"/>
  <c r="R184" i="63" s="1"/>
  <c r="L185" i="63"/>
  <c r="R185" i="63" s="1"/>
  <c r="L186" i="63"/>
  <c r="R186" i="63" s="1"/>
  <c r="L187" i="63"/>
  <c r="R187" i="63" s="1"/>
  <c r="L188" i="63"/>
  <c r="R188" i="63" s="1"/>
  <c r="L189" i="63"/>
  <c r="T189" i="63" s="1"/>
  <c r="L190" i="63"/>
  <c r="T184" i="63"/>
  <c r="T188" i="63"/>
  <c r="L169" i="63"/>
  <c r="L170" i="63"/>
  <c r="R170" i="63" s="1"/>
  <c r="L171" i="63"/>
  <c r="L172" i="63"/>
  <c r="L137" i="63"/>
  <c r="L138" i="63"/>
  <c r="R138" i="63" s="1"/>
  <c r="L139" i="63"/>
  <c r="R139" i="63" s="1"/>
  <c r="L140" i="63"/>
  <c r="R140" i="63" s="1"/>
  <c r="L141" i="63"/>
  <c r="L142" i="63"/>
  <c r="R142" i="63" s="1"/>
  <c r="L143" i="63"/>
  <c r="L144" i="63"/>
  <c r="R144" i="63" s="1"/>
  <c r="L145" i="63"/>
  <c r="L146" i="63"/>
  <c r="R146" i="63" s="1"/>
  <c r="S139" i="63"/>
  <c r="L119" i="63"/>
  <c r="T119" i="63" s="1"/>
  <c r="L120" i="63"/>
  <c r="L121" i="63"/>
  <c r="L122" i="63"/>
  <c r="S122" i="63" s="1"/>
  <c r="L123" i="63"/>
  <c r="T123" i="63" s="1"/>
  <c r="L124" i="63"/>
  <c r="L125" i="63"/>
  <c r="T125" i="63" s="1"/>
  <c r="L126" i="63"/>
  <c r="S126" i="63" s="1"/>
  <c r="L127" i="63"/>
  <c r="T127" i="63" s="1"/>
  <c r="L128" i="63"/>
  <c r="T121" i="63"/>
  <c r="L87" i="63"/>
  <c r="R87" i="63" s="1"/>
  <c r="L88" i="63"/>
  <c r="R88" i="63" s="1"/>
  <c r="L89" i="63"/>
  <c r="R89" i="63" s="1"/>
  <c r="L90" i="63"/>
  <c r="R90" i="63" s="1"/>
  <c r="L91" i="63"/>
  <c r="T91" i="63" s="1"/>
  <c r="L92" i="63"/>
  <c r="R92" i="63" s="1"/>
  <c r="L93" i="63"/>
  <c r="S93" i="63" s="1"/>
  <c r="L94" i="63"/>
  <c r="R94" i="63" s="1"/>
  <c r="L95" i="63"/>
  <c r="T95" i="63" s="1"/>
  <c r="L96" i="63"/>
  <c r="R96" i="63" s="1"/>
  <c r="S89" i="63"/>
  <c r="T87" i="63"/>
  <c r="L69" i="63"/>
  <c r="T69" i="63" s="1"/>
  <c r="L70" i="63"/>
  <c r="L71" i="63"/>
  <c r="T71" i="63" s="1"/>
  <c r="L72" i="63"/>
  <c r="S72" i="63" s="1"/>
  <c r="L73" i="63"/>
  <c r="T73" i="63" s="1"/>
  <c r="L74" i="63"/>
  <c r="L75" i="63"/>
  <c r="T75" i="63" s="1"/>
  <c r="L76" i="63"/>
  <c r="S76" i="63" s="1"/>
  <c r="L77" i="63"/>
  <c r="T77" i="63" s="1"/>
  <c r="L78" i="63"/>
  <c r="L255" i="62"/>
  <c r="R255" i="62" s="1"/>
  <c r="L256" i="62"/>
  <c r="L257" i="62"/>
  <c r="R257" i="62" s="1"/>
  <c r="L258" i="62"/>
  <c r="S257" i="62"/>
  <c r="L237" i="62"/>
  <c r="T237" i="62" s="1"/>
  <c r="L238" i="62"/>
  <c r="L239" i="62"/>
  <c r="L240" i="62"/>
  <c r="S240" i="62" s="1"/>
  <c r="L241" i="62"/>
  <c r="T241" i="62" s="1"/>
  <c r="L242" i="62"/>
  <c r="L243" i="62"/>
  <c r="T243" i="62" s="1"/>
  <c r="L244" i="62"/>
  <c r="S244" i="62" s="1"/>
  <c r="L245" i="62"/>
  <c r="T245" i="62" s="1"/>
  <c r="L246" i="62"/>
  <c r="T239" i="62"/>
  <c r="L215" i="62"/>
  <c r="L216" i="62"/>
  <c r="R216" i="62" s="1"/>
  <c r="L217" i="62"/>
  <c r="L218" i="62"/>
  <c r="R218" i="62" s="1"/>
  <c r="L219" i="62"/>
  <c r="T219" i="62" s="1"/>
  <c r="L220" i="62"/>
  <c r="R220" i="62" s="1"/>
  <c r="L221" i="62"/>
  <c r="S221" i="62" s="1"/>
  <c r="L222" i="62"/>
  <c r="R222" i="62" s="1"/>
  <c r="L223" i="62"/>
  <c r="T223" i="62" s="1"/>
  <c r="L224" i="62"/>
  <c r="R224" i="62" s="1"/>
  <c r="S217" i="62"/>
  <c r="T215" i="62"/>
  <c r="L199" i="62"/>
  <c r="T199" i="62" s="1"/>
  <c r="L200" i="62"/>
  <c r="L201" i="62"/>
  <c r="L202" i="62"/>
  <c r="R202" i="62" s="1"/>
  <c r="L203" i="62"/>
  <c r="S200" i="62"/>
  <c r="L181" i="62"/>
  <c r="R181" i="62" s="1"/>
  <c r="L182" i="62"/>
  <c r="L183" i="62"/>
  <c r="R183" i="62" s="1"/>
  <c r="L184" i="62"/>
  <c r="L185" i="62"/>
  <c r="R185" i="62" s="1"/>
  <c r="L186" i="62"/>
  <c r="L187" i="62"/>
  <c r="R187" i="62" s="1"/>
  <c r="L188" i="62"/>
  <c r="T188" i="62" s="1"/>
  <c r="L189" i="62"/>
  <c r="R189" i="62" s="1"/>
  <c r="L190" i="62"/>
  <c r="S183" i="62"/>
  <c r="T181" i="62"/>
  <c r="T185" i="62"/>
  <c r="T190" i="62"/>
  <c r="L169" i="62"/>
  <c r="L170" i="62"/>
  <c r="S170" i="62" s="1"/>
  <c r="L171" i="62"/>
  <c r="L172" i="62"/>
  <c r="S172" i="62" s="1"/>
  <c r="L155" i="62"/>
  <c r="R155" i="62" s="1"/>
  <c r="L156" i="62"/>
  <c r="S156" i="62" s="1"/>
  <c r="L157" i="62"/>
  <c r="L158" i="62"/>
  <c r="S158" i="62" s="1"/>
  <c r="L159" i="62"/>
  <c r="T159" i="62" s="1"/>
  <c r="L160" i="62"/>
  <c r="S160" i="62" s="1"/>
  <c r="L137" i="62"/>
  <c r="S137" i="62" s="1"/>
  <c r="L138" i="62"/>
  <c r="L139" i="62"/>
  <c r="S139" i="62" s="1"/>
  <c r="L140" i="62"/>
  <c r="L141" i="62"/>
  <c r="R141" i="62" s="1"/>
  <c r="L142" i="62"/>
  <c r="R142" i="62" s="1"/>
  <c r="L143" i="62"/>
  <c r="R143" i="62" s="1"/>
  <c r="L144" i="62"/>
  <c r="L145" i="62"/>
  <c r="L146" i="62"/>
  <c r="R146" i="62" s="1"/>
  <c r="L119" i="62"/>
  <c r="S119" i="62" s="1"/>
  <c r="L120" i="62"/>
  <c r="R120" i="62" s="1"/>
  <c r="L121" i="62"/>
  <c r="L122" i="62"/>
  <c r="R122" i="62" s="1"/>
  <c r="L123" i="62"/>
  <c r="R123" i="62" s="1"/>
  <c r="L124" i="62"/>
  <c r="R124" i="62" s="1"/>
  <c r="L125" i="62"/>
  <c r="R125" i="62" s="1"/>
  <c r="L126" i="62"/>
  <c r="R126" i="62" s="1"/>
  <c r="L127" i="62"/>
  <c r="L128" i="62"/>
  <c r="R128" i="62" s="1"/>
  <c r="S126" i="62"/>
  <c r="T125" i="62"/>
  <c r="L108" i="62"/>
  <c r="R108" i="62" s="1"/>
  <c r="L109" i="62"/>
  <c r="S109" i="62" s="1"/>
  <c r="L110" i="62"/>
  <c r="L87" i="62"/>
  <c r="T87" i="62" s="1"/>
  <c r="L88" i="62"/>
  <c r="L89" i="62"/>
  <c r="T89" i="62" s="1"/>
  <c r="L90" i="62"/>
  <c r="S90" i="62" s="1"/>
  <c r="L91" i="62"/>
  <c r="T91" i="62" s="1"/>
  <c r="L92" i="62"/>
  <c r="L93" i="62"/>
  <c r="T93" i="62" s="1"/>
  <c r="L94" i="62"/>
  <c r="S94" i="62" s="1"/>
  <c r="L95" i="62"/>
  <c r="T95" i="62" s="1"/>
  <c r="L96" i="62"/>
  <c r="L69" i="62"/>
  <c r="S69" i="62" s="1"/>
  <c r="L70" i="62"/>
  <c r="T70" i="62" s="1"/>
  <c r="L71" i="62"/>
  <c r="S71" i="62" s="1"/>
  <c r="L72" i="62"/>
  <c r="L73" i="62"/>
  <c r="S73" i="62" s="1"/>
  <c r="L74" i="62"/>
  <c r="T74" i="62" s="1"/>
  <c r="L75" i="62"/>
  <c r="S75" i="62" s="1"/>
  <c r="L76" i="62"/>
  <c r="L77" i="62"/>
  <c r="L78" i="62"/>
  <c r="T78" i="62" s="1"/>
  <c r="S77" i="62"/>
  <c r="L51" i="62"/>
  <c r="L52" i="62"/>
  <c r="S52" i="62" s="1"/>
  <c r="L53" i="62"/>
  <c r="T53" i="62" s="1"/>
  <c r="L54" i="62"/>
  <c r="S54" i="62" s="1"/>
  <c r="L55" i="62"/>
  <c r="L56" i="62"/>
  <c r="S56" i="62" s="1"/>
  <c r="L57" i="62"/>
  <c r="T57" i="62" s="1"/>
  <c r="L58" i="62"/>
  <c r="S58" i="62" s="1"/>
  <c r="L59" i="62"/>
  <c r="L60" i="62"/>
  <c r="S60" i="62" s="1"/>
  <c r="L255" i="61"/>
  <c r="R255" i="61" s="1"/>
  <c r="L256" i="61"/>
  <c r="R256" i="61" s="1"/>
  <c r="L257" i="61"/>
  <c r="L258" i="61"/>
  <c r="R258" i="61" s="1"/>
  <c r="S255" i="61"/>
  <c r="S257" i="61"/>
  <c r="T255" i="61"/>
  <c r="L237" i="61"/>
  <c r="L238" i="61"/>
  <c r="S238" i="61" s="1"/>
  <c r="L239" i="61"/>
  <c r="T239" i="61" s="1"/>
  <c r="L240" i="61"/>
  <c r="L241" i="61"/>
  <c r="L242" i="61"/>
  <c r="S242" i="61" s="1"/>
  <c r="L243" i="61"/>
  <c r="T243" i="61" s="1"/>
  <c r="L244" i="61"/>
  <c r="S244" i="61" s="1"/>
  <c r="L245" i="61"/>
  <c r="L246" i="61"/>
  <c r="S246" i="61" s="1"/>
  <c r="S240" i="61"/>
  <c r="L215" i="61"/>
  <c r="R215" i="61" s="1"/>
  <c r="L216" i="61"/>
  <c r="L217" i="61"/>
  <c r="R217" i="61" s="1"/>
  <c r="L218" i="61"/>
  <c r="L219" i="61"/>
  <c r="R219" i="61" s="1"/>
  <c r="L220" i="61"/>
  <c r="R220" i="61" s="1"/>
  <c r="L221" i="61"/>
  <c r="R221" i="61" s="1"/>
  <c r="L222" i="61"/>
  <c r="R222" i="61" s="1"/>
  <c r="L223" i="61"/>
  <c r="R223" i="61" s="1"/>
  <c r="L224" i="61"/>
  <c r="R224" i="61" s="1"/>
  <c r="T223" i="61"/>
  <c r="L199" i="61"/>
  <c r="L200" i="61"/>
  <c r="R200" i="61" s="1"/>
  <c r="L201" i="61"/>
  <c r="R201" i="61" s="1"/>
  <c r="L202" i="61"/>
  <c r="R202" i="61" s="1"/>
  <c r="L203" i="61"/>
  <c r="T200" i="61"/>
  <c r="L181" i="61"/>
  <c r="T181" i="61" s="1"/>
  <c r="L182" i="61"/>
  <c r="L183" i="61"/>
  <c r="R183" i="61" s="1"/>
  <c r="L184" i="61"/>
  <c r="R184" i="61" s="1"/>
  <c r="L185" i="61"/>
  <c r="L186" i="61"/>
  <c r="R186" i="61" s="1"/>
  <c r="L187" i="61"/>
  <c r="L188" i="61"/>
  <c r="L189" i="61"/>
  <c r="R189" i="61" s="1"/>
  <c r="L190" i="61"/>
  <c r="R190" i="61" s="1"/>
  <c r="S183" i="61"/>
  <c r="L169" i="61"/>
  <c r="L170" i="61"/>
  <c r="L171" i="61"/>
  <c r="L172" i="61"/>
  <c r="L155" i="61"/>
  <c r="T155" i="61" s="1"/>
  <c r="L156" i="61"/>
  <c r="L157" i="61"/>
  <c r="L158" i="61"/>
  <c r="S158" i="61" s="1"/>
  <c r="L159" i="61"/>
  <c r="T159" i="61" s="1"/>
  <c r="L160" i="61"/>
  <c r="T157" i="61"/>
  <c r="L137" i="61"/>
  <c r="R137" i="61" s="1"/>
  <c r="L138" i="61"/>
  <c r="L139" i="61"/>
  <c r="R139" i="61" s="1"/>
  <c r="L140" i="61"/>
  <c r="L141" i="61"/>
  <c r="R141" i="61" s="1"/>
  <c r="L142" i="61"/>
  <c r="L143" i="61"/>
  <c r="R143" i="61" s="1"/>
  <c r="L144" i="61"/>
  <c r="L145" i="61"/>
  <c r="R145" i="61" s="1"/>
  <c r="L146" i="61"/>
  <c r="S137" i="61"/>
  <c r="L119" i="61"/>
  <c r="S119" i="61" s="1"/>
  <c r="L120" i="61"/>
  <c r="L121" i="61"/>
  <c r="R121" i="61" s="1"/>
  <c r="L122" i="61"/>
  <c r="R122" i="61" s="1"/>
  <c r="L123" i="61"/>
  <c r="R123" i="61" s="1"/>
  <c r="L124" i="61"/>
  <c r="R124" i="61" s="1"/>
  <c r="L125" i="61"/>
  <c r="R125" i="61" s="1"/>
  <c r="L126" i="61"/>
  <c r="L127" i="61"/>
  <c r="R127" i="61" s="1"/>
  <c r="L128" i="61"/>
  <c r="T123" i="61"/>
  <c r="L108" i="61"/>
  <c r="L109" i="61"/>
  <c r="S109" i="61" s="1"/>
  <c r="L110" i="61"/>
  <c r="L87" i="61"/>
  <c r="T87" i="61" s="1"/>
  <c r="L88" i="61"/>
  <c r="L89" i="61"/>
  <c r="T89" i="61" s="1"/>
  <c r="L90" i="61"/>
  <c r="S90" i="61" s="1"/>
  <c r="L91" i="61"/>
  <c r="T91" i="61" s="1"/>
  <c r="L92" i="61"/>
  <c r="L93" i="61"/>
  <c r="T93" i="61" s="1"/>
  <c r="L94" i="61"/>
  <c r="S94" i="61" s="1"/>
  <c r="L95" i="61"/>
  <c r="L96" i="61"/>
  <c r="T95" i="61"/>
  <c r="L69" i="61"/>
  <c r="S69" i="61" s="1"/>
  <c r="L70" i="61"/>
  <c r="L71" i="61"/>
  <c r="T71" i="61" s="1"/>
  <c r="L72" i="61"/>
  <c r="L73" i="61"/>
  <c r="S73" i="61" s="1"/>
  <c r="L74" i="61"/>
  <c r="S74" i="61" s="1"/>
  <c r="L75" i="61"/>
  <c r="T75" i="61" s="1"/>
  <c r="L76" i="61"/>
  <c r="R76" i="61"/>
  <c r="L77" i="61"/>
  <c r="S77" i="61" s="1"/>
  <c r="L78" i="61"/>
  <c r="S71" i="61"/>
  <c r="S75" i="61"/>
  <c r="S76" i="61"/>
  <c r="S78" i="61"/>
  <c r="T73" i="61"/>
  <c r="T76" i="61"/>
  <c r="T77" i="61"/>
  <c r="L52" i="61"/>
  <c r="L53" i="61"/>
  <c r="L54" i="61"/>
  <c r="S54" i="61" s="1"/>
  <c r="L55" i="61"/>
  <c r="T55" i="61" s="1"/>
  <c r="L56" i="61"/>
  <c r="L57" i="61"/>
  <c r="T57" i="61" s="1"/>
  <c r="L58" i="61"/>
  <c r="S58" i="61" s="1"/>
  <c r="L59" i="61"/>
  <c r="T59" i="61" s="1"/>
  <c r="L60" i="61"/>
  <c r="T53" i="61"/>
  <c r="L255" i="60"/>
  <c r="S255" i="60" s="1"/>
  <c r="L256" i="60"/>
  <c r="L257" i="60"/>
  <c r="R257" i="60" s="1"/>
  <c r="L258" i="60"/>
  <c r="S258" i="60" s="1"/>
  <c r="L237" i="60"/>
  <c r="S237" i="60" s="1"/>
  <c r="L238" i="60"/>
  <c r="L239" i="60"/>
  <c r="L240" i="60"/>
  <c r="L241" i="60"/>
  <c r="R241" i="60" s="1"/>
  <c r="L242" i="60"/>
  <c r="L243" i="60"/>
  <c r="S243" i="60" s="1"/>
  <c r="L244" i="60"/>
  <c r="L245" i="60"/>
  <c r="R245" i="60" s="1"/>
  <c r="L246" i="60"/>
  <c r="S239" i="60"/>
  <c r="L215" i="60"/>
  <c r="S215" i="60" s="1"/>
  <c r="L216" i="60"/>
  <c r="T216" i="60" s="1"/>
  <c r="L217" i="60"/>
  <c r="S217" i="60" s="1"/>
  <c r="L218" i="60"/>
  <c r="L219" i="60"/>
  <c r="S219" i="60" s="1"/>
  <c r="L220" i="60"/>
  <c r="T220" i="60" s="1"/>
  <c r="L221" i="60"/>
  <c r="S221" i="60" s="1"/>
  <c r="L222" i="60"/>
  <c r="L223" i="60"/>
  <c r="L224" i="60"/>
  <c r="L199" i="60"/>
  <c r="L200" i="60"/>
  <c r="L201" i="60"/>
  <c r="L202" i="60"/>
  <c r="S202" i="60" s="1"/>
  <c r="L203" i="60"/>
  <c r="S200" i="60"/>
  <c r="L181" i="60"/>
  <c r="L182" i="60"/>
  <c r="T182" i="60" s="1"/>
  <c r="L183" i="60"/>
  <c r="R183" i="60" s="1"/>
  <c r="L184" i="60"/>
  <c r="S184" i="60" s="1"/>
  <c r="L185" i="60"/>
  <c r="R185" i="60" s="1"/>
  <c r="L186" i="60"/>
  <c r="T186" i="60" s="1"/>
  <c r="L187" i="60"/>
  <c r="L188" i="60"/>
  <c r="S188" i="60" s="1"/>
  <c r="L189" i="60"/>
  <c r="T189" i="60" s="1"/>
  <c r="R189" i="60"/>
  <c r="L190" i="60"/>
  <c r="T190" i="60" s="1"/>
  <c r="S183" i="60"/>
  <c r="S185" i="60"/>
  <c r="S189" i="60"/>
  <c r="T183" i="60"/>
  <c r="L169" i="60"/>
  <c r="T169" i="60" s="1"/>
  <c r="L170" i="60"/>
  <c r="L171" i="60"/>
  <c r="L172" i="60"/>
  <c r="S172" i="60" s="1"/>
  <c r="L155" i="60"/>
  <c r="L156" i="60"/>
  <c r="T156" i="60" s="1"/>
  <c r="L157" i="60"/>
  <c r="S157" i="60" s="1"/>
  <c r="L158" i="60"/>
  <c r="T158" i="60" s="1"/>
  <c r="L159" i="60"/>
  <c r="L160" i="60"/>
  <c r="T160" i="60" s="1"/>
  <c r="L137" i="60"/>
  <c r="L138" i="60"/>
  <c r="S138" i="60" s="1"/>
  <c r="L139" i="60"/>
  <c r="T139" i="60" s="1"/>
  <c r="L140" i="60"/>
  <c r="S140" i="60" s="1"/>
  <c r="L141" i="60"/>
  <c r="L142" i="60"/>
  <c r="S142" i="60" s="1"/>
  <c r="L143" i="60"/>
  <c r="L144" i="60"/>
  <c r="S144" i="60" s="1"/>
  <c r="L145" i="60"/>
  <c r="L146" i="60"/>
  <c r="S146" i="60" s="1"/>
  <c r="L119" i="60"/>
  <c r="S119" i="60" s="1"/>
  <c r="L120" i="60"/>
  <c r="L121" i="60"/>
  <c r="L122" i="60"/>
  <c r="L123" i="60"/>
  <c r="R123" i="60" s="1"/>
  <c r="L124" i="60"/>
  <c r="L125" i="60"/>
  <c r="L126" i="60"/>
  <c r="L127" i="60"/>
  <c r="R127" i="60" s="1"/>
  <c r="L128" i="60"/>
  <c r="S121" i="60"/>
  <c r="L108" i="60"/>
  <c r="S108" i="60" s="1"/>
  <c r="L109" i="60"/>
  <c r="T109" i="60" s="1"/>
  <c r="L110" i="60"/>
  <c r="L87" i="60"/>
  <c r="T87" i="60" s="1"/>
  <c r="L88" i="60"/>
  <c r="L89" i="60"/>
  <c r="T89" i="60" s="1"/>
  <c r="L90" i="60"/>
  <c r="S90" i="60" s="1"/>
  <c r="L91" i="60"/>
  <c r="T91" i="60" s="1"/>
  <c r="L92" i="60"/>
  <c r="L93" i="60"/>
  <c r="T93" i="60" s="1"/>
  <c r="L94" i="60"/>
  <c r="S94" i="60" s="1"/>
  <c r="L95" i="60"/>
  <c r="T95" i="60" s="1"/>
  <c r="L96" i="60"/>
  <c r="L69" i="60"/>
  <c r="R69" i="60" s="1"/>
  <c r="L70" i="60"/>
  <c r="L71" i="60"/>
  <c r="L72" i="60"/>
  <c r="L73" i="60"/>
  <c r="R73" i="60" s="1"/>
  <c r="L74" i="60"/>
  <c r="L75" i="60"/>
  <c r="T75" i="60" s="1"/>
  <c r="L76" i="60"/>
  <c r="L77" i="60"/>
  <c r="R77" i="60" s="1"/>
  <c r="L78" i="60"/>
  <c r="S71" i="60"/>
  <c r="T73" i="60"/>
  <c r="L51" i="60"/>
  <c r="L52" i="60"/>
  <c r="L53" i="60"/>
  <c r="T53" i="60" s="1"/>
  <c r="L54" i="60"/>
  <c r="S54" i="60" s="1"/>
  <c r="L55" i="60"/>
  <c r="T55" i="60" s="1"/>
  <c r="L56" i="60"/>
  <c r="L57" i="60"/>
  <c r="T57" i="60" s="1"/>
  <c r="L58" i="60"/>
  <c r="S58" i="60" s="1"/>
  <c r="L59" i="60"/>
  <c r="T59" i="60" s="1"/>
  <c r="L60" i="60"/>
  <c r="T51" i="60"/>
  <c r="L255" i="59"/>
  <c r="R255" i="59" s="1"/>
  <c r="L256" i="59"/>
  <c r="L257" i="59"/>
  <c r="L258" i="59"/>
  <c r="L237" i="59"/>
  <c r="T237" i="59" s="1"/>
  <c r="L238" i="59"/>
  <c r="L239" i="59"/>
  <c r="T239" i="59" s="1"/>
  <c r="L240" i="59"/>
  <c r="S240" i="59" s="1"/>
  <c r="L241" i="59"/>
  <c r="T241" i="59" s="1"/>
  <c r="L242" i="59"/>
  <c r="L243" i="59"/>
  <c r="T243" i="59" s="1"/>
  <c r="L244" i="59"/>
  <c r="S244" i="59" s="1"/>
  <c r="L245" i="59"/>
  <c r="T245" i="59" s="1"/>
  <c r="L246" i="59"/>
  <c r="L215" i="59"/>
  <c r="R215" i="59" s="1"/>
  <c r="L216" i="59"/>
  <c r="L217" i="59"/>
  <c r="L218" i="59"/>
  <c r="L219" i="59"/>
  <c r="R219" i="59" s="1"/>
  <c r="L220" i="59"/>
  <c r="L221" i="59"/>
  <c r="L222" i="59"/>
  <c r="L223" i="59"/>
  <c r="R223" i="59" s="1"/>
  <c r="L224" i="59"/>
  <c r="S219" i="59"/>
  <c r="T219" i="59"/>
  <c r="L199" i="59"/>
  <c r="L200" i="59"/>
  <c r="S200" i="59" s="1"/>
  <c r="L201" i="59"/>
  <c r="L202" i="59"/>
  <c r="T202" i="59" s="1"/>
  <c r="L203" i="59"/>
  <c r="L181" i="59"/>
  <c r="L182" i="59"/>
  <c r="L183" i="59"/>
  <c r="R183" i="59" s="1"/>
  <c r="L184" i="59"/>
  <c r="L185" i="59"/>
  <c r="R185" i="59" s="1"/>
  <c r="L186" i="59"/>
  <c r="L187" i="59"/>
  <c r="R187" i="59" s="1"/>
  <c r="L188" i="59"/>
  <c r="L189" i="59"/>
  <c r="L190" i="59"/>
  <c r="S183" i="59"/>
  <c r="T185" i="59"/>
  <c r="L169" i="59"/>
  <c r="L170" i="59"/>
  <c r="L171" i="59"/>
  <c r="T171" i="59" s="1"/>
  <c r="L172" i="59"/>
  <c r="S172" i="59" s="1"/>
  <c r="T169" i="59"/>
  <c r="L155" i="59"/>
  <c r="S155" i="59" s="1"/>
  <c r="L156" i="59"/>
  <c r="L157" i="59"/>
  <c r="L158" i="59"/>
  <c r="L159" i="59"/>
  <c r="L160" i="59"/>
  <c r="T157" i="59"/>
  <c r="L137" i="59"/>
  <c r="T137" i="59" s="1"/>
  <c r="L138" i="59"/>
  <c r="L139" i="59"/>
  <c r="T139" i="59" s="1"/>
  <c r="L140" i="59"/>
  <c r="S140" i="59" s="1"/>
  <c r="L141" i="59"/>
  <c r="T141" i="59" s="1"/>
  <c r="L142" i="59"/>
  <c r="L143" i="59"/>
  <c r="T143" i="59" s="1"/>
  <c r="L144" i="59"/>
  <c r="L145" i="59"/>
  <c r="T145" i="59" s="1"/>
  <c r="L146" i="59"/>
  <c r="L119" i="59"/>
  <c r="S119" i="59" s="1"/>
  <c r="L120" i="59"/>
  <c r="L121" i="59"/>
  <c r="T121" i="59" s="1"/>
  <c r="L122" i="59"/>
  <c r="L123" i="59"/>
  <c r="S123" i="59" s="1"/>
  <c r="L124" i="59"/>
  <c r="L125" i="59"/>
  <c r="T125" i="59" s="1"/>
  <c r="L126" i="59"/>
  <c r="L127" i="59"/>
  <c r="S127" i="59" s="1"/>
  <c r="L128" i="59"/>
  <c r="L108" i="59"/>
  <c r="L109" i="59"/>
  <c r="L110" i="59"/>
  <c r="L87" i="59"/>
  <c r="L88" i="59"/>
  <c r="T88" i="59" s="1"/>
  <c r="L89" i="59"/>
  <c r="R89" i="59" s="1"/>
  <c r="L90" i="59"/>
  <c r="L91" i="59"/>
  <c r="L92" i="59"/>
  <c r="T92" i="59" s="1"/>
  <c r="L93" i="59"/>
  <c r="R93" i="59" s="1"/>
  <c r="L94" i="59"/>
  <c r="R94" i="59" s="1"/>
  <c r="L95" i="59"/>
  <c r="L96" i="59"/>
  <c r="T96" i="59" s="1"/>
  <c r="S89" i="59"/>
  <c r="S94" i="59"/>
  <c r="S95" i="59"/>
  <c r="T90" i="59"/>
  <c r="T93" i="59"/>
  <c r="T94" i="59"/>
  <c r="L69" i="59"/>
  <c r="T69" i="59" s="1"/>
  <c r="L70" i="59"/>
  <c r="L71" i="59"/>
  <c r="T71" i="59" s="1"/>
  <c r="L72" i="59"/>
  <c r="S72" i="59" s="1"/>
  <c r="L73" i="59"/>
  <c r="T73" i="59" s="1"/>
  <c r="L74" i="59"/>
  <c r="L75" i="59"/>
  <c r="T75" i="59" s="1"/>
  <c r="L76" i="59"/>
  <c r="L77" i="59"/>
  <c r="T77" i="59" s="1"/>
  <c r="L78" i="59"/>
  <c r="L51" i="59"/>
  <c r="R51" i="59" s="1"/>
  <c r="L52" i="59"/>
  <c r="R52" i="59" s="1"/>
  <c r="L53" i="59"/>
  <c r="R53" i="59" s="1"/>
  <c r="L54" i="59"/>
  <c r="L55" i="59"/>
  <c r="L56" i="59"/>
  <c r="R56" i="59" s="1"/>
  <c r="L57" i="59"/>
  <c r="L58" i="59"/>
  <c r="R58" i="59" s="1"/>
  <c r="L59" i="59"/>
  <c r="R59" i="59" s="1"/>
  <c r="L60" i="59"/>
  <c r="R60" i="59" s="1"/>
  <c r="S52" i="59"/>
  <c r="L255" i="64"/>
  <c r="L256" i="64"/>
  <c r="R256" i="64" s="1"/>
  <c r="L257" i="64"/>
  <c r="R257" i="64" s="1"/>
  <c r="L258" i="64"/>
  <c r="R258" i="64" s="1"/>
  <c r="S255" i="64"/>
  <c r="L237" i="64"/>
  <c r="L238" i="64"/>
  <c r="S238" i="64" s="1"/>
  <c r="L239" i="64"/>
  <c r="T239" i="64" s="1"/>
  <c r="L240" i="64"/>
  <c r="S240" i="64" s="1"/>
  <c r="L241" i="64"/>
  <c r="L242" i="64"/>
  <c r="S242" i="64" s="1"/>
  <c r="L243" i="64"/>
  <c r="L244" i="64"/>
  <c r="S244" i="64" s="1"/>
  <c r="L245" i="64"/>
  <c r="L246" i="64"/>
  <c r="S246" i="64" s="1"/>
  <c r="L215" i="64"/>
  <c r="L216" i="64"/>
  <c r="R216" i="64"/>
  <c r="L217" i="64"/>
  <c r="S217" i="64" s="1"/>
  <c r="L218" i="64"/>
  <c r="L219" i="64"/>
  <c r="L220" i="64"/>
  <c r="L221" i="64"/>
  <c r="L222" i="64"/>
  <c r="L223" i="64"/>
  <c r="T223" i="64" s="1"/>
  <c r="L224" i="64"/>
  <c r="S216" i="64"/>
  <c r="S221" i="64"/>
  <c r="S224" i="64"/>
  <c r="T216" i="64"/>
  <c r="T219" i="64"/>
  <c r="L199" i="64"/>
  <c r="L200" i="64"/>
  <c r="R200" i="64" s="1"/>
  <c r="L201" i="64"/>
  <c r="L202" i="64"/>
  <c r="R202" i="64" s="1"/>
  <c r="L203" i="64"/>
  <c r="S200" i="64"/>
  <c r="L181" i="64"/>
  <c r="L182" i="64"/>
  <c r="R182" i="64" s="1"/>
  <c r="L183" i="64"/>
  <c r="R183" i="64" s="1"/>
  <c r="L184" i="64"/>
  <c r="R184" i="64" s="1"/>
  <c r="L185" i="64"/>
  <c r="L186" i="64"/>
  <c r="R186" i="64" s="1"/>
  <c r="L187" i="64"/>
  <c r="L188" i="64"/>
  <c r="R188" i="64" s="1"/>
  <c r="L189" i="64"/>
  <c r="R189" i="64" s="1"/>
  <c r="L190" i="64"/>
  <c r="R190" i="64" s="1"/>
  <c r="S183" i="64"/>
  <c r="L169" i="64"/>
  <c r="L170" i="64"/>
  <c r="S170" i="64" s="1"/>
  <c r="L171" i="64"/>
  <c r="L172" i="64"/>
  <c r="S172" i="64" s="1"/>
  <c r="L155" i="64"/>
  <c r="L156" i="64"/>
  <c r="R156" i="64" s="1"/>
  <c r="L157" i="64"/>
  <c r="T157" i="64" s="1"/>
  <c r="L158" i="64"/>
  <c r="R158" i="64" s="1"/>
  <c r="L159" i="64"/>
  <c r="L160" i="64"/>
  <c r="R160" i="64" s="1"/>
  <c r="T155" i="64"/>
  <c r="L137" i="64"/>
  <c r="L138" i="64"/>
  <c r="S138" i="64" s="1"/>
  <c r="L139" i="64"/>
  <c r="T139" i="64" s="1"/>
  <c r="L140" i="64"/>
  <c r="S140" i="64" s="1"/>
  <c r="L141" i="64"/>
  <c r="L142" i="64"/>
  <c r="S142" i="64" s="1"/>
  <c r="L143" i="64"/>
  <c r="L144" i="64"/>
  <c r="S144" i="64" s="1"/>
  <c r="L145" i="64"/>
  <c r="L146" i="64"/>
  <c r="S146" i="64" s="1"/>
  <c r="L119" i="64"/>
  <c r="T119" i="64" s="1"/>
  <c r="L120" i="64"/>
  <c r="R120" i="64" s="1"/>
  <c r="L121" i="64"/>
  <c r="R121" i="64" s="1"/>
  <c r="L122" i="64"/>
  <c r="R122" i="64" s="1"/>
  <c r="L123" i="64"/>
  <c r="L124" i="64"/>
  <c r="R124" i="64" s="1"/>
  <c r="L125" i="64"/>
  <c r="L126" i="64"/>
  <c r="R126" i="64" s="1"/>
  <c r="L127" i="64"/>
  <c r="L128" i="64"/>
  <c r="R128" i="64" s="1"/>
  <c r="S121" i="64"/>
  <c r="L108" i="64"/>
  <c r="L109" i="64"/>
  <c r="L110" i="64"/>
  <c r="L87" i="64"/>
  <c r="T87" i="64" s="1"/>
  <c r="L88" i="64"/>
  <c r="R88" i="64" s="1"/>
  <c r="L89" i="64"/>
  <c r="L90" i="64"/>
  <c r="R90" i="64" s="1"/>
  <c r="L91" i="64"/>
  <c r="S91" i="64" s="1"/>
  <c r="L92" i="64"/>
  <c r="R92" i="64" s="1"/>
  <c r="L93" i="64"/>
  <c r="L94" i="64"/>
  <c r="R94" i="64" s="1"/>
  <c r="L95" i="64"/>
  <c r="T95" i="64" s="1"/>
  <c r="L96" i="64"/>
  <c r="R96" i="64" s="1"/>
  <c r="S89" i="64"/>
  <c r="T93" i="64"/>
  <c r="L69" i="64"/>
  <c r="L70" i="64"/>
  <c r="S70" i="64" s="1"/>
  <c r="L71" i="64"/>
  <c r="T71" i="64" s="1"/>
  <c r="L72" i="64"/>
  <c r="S72" i="64" s="1"/>
  <c r="L73" i="64"/>
  <c r="L74" i="64"/>
  <c r="S74" i="64" s="1"/>
  <c r="L75" i="64"/>
  <c r="T75" i="64" s="1"/>
  <c r="L76" i="64"/>
  <c r="S76" i="64" s="1"/>
  <c r="L77" i="64"/>
  <c r="L78" i="64"/>
  <c r="S78" i="64" s="1"/>
  <c r="L51" i="64"/>
  <c r="S51" i="64" s="1"/>
  <c r="L52" i="64"/>
  <c r="T52" i="64" s="1"/>
  <c r="L53" i="64"/>
  <c r="S53" i="64" s="1"/>
  <c r="L54" i="64"/>
  <c r="L55" i="64"/>
  <c r="S55" i="64" s="1"/>
  <c r="L56" i="64"/>
  <c r="T56" i="64" s="1"/>
  <c r="L57" i="64"/>
  <c r="S57" i="64" s="1"/>
  <c r="L58" i="64"/>
  <c r="L59" i="64"/>
  <c r="S59" i="64" s="1"/>
  <c r="L60" i="64"/>
  <c r="T60" i="64" s="1"/>
  <c r="L237" i="58"/>
  <c r="L238" i="58"/>
  <c r="L239" i="58"/>
  <c r="T239" i="58" s="1"/>
  <c r="L240" i="58"/>
  <c r="S240" i="58" s="1"/>
  <c r="L241" i="58"/>
  <c r="L242" i="58"/>
  <c r="L243" i="58"/>
  <c r="T243" i="58" s="1"/>
  <c r="L244" i="58"/>
  <c r="S244" i="58" s="1"/>
  <c r="L245" i="58"/>
  <c r="L246" i="58"/>
  <c r="S246" i="58" s="1"/>
  <c r="S242" i="58"/>
  <c r="L215" i="58"/>
  <c r="T215" i="58" s="1"/>
  <c r="L216" i="58"/>
  <c r="R216" i="58" s="1"/>
  <c r="L217" i="58"/>
  <c r="R217" i="58" s="1"/>
  <c r="L218" i="58"/>
  <c r="R218" i="58" s="1"/>
  <c r="L219" i="58"/>
  <c r="L220" i="58"/>
  <c r="R220" i="58" s="1"/>
  <c r="L221" i="58"/>
  <c r="R221" i="58" s="1"/>
  <c r="L222" i="58"/>
  <c r="R222" i="58" s="1"/>
  <c r="L223" i="58"/>
  <c r="L224" i="58"/>
  <c r="R224" i="58" s="1"/>
  <c r="S217" i="58"/>
  <c r="S219" i="58"/>
  <c r="T221" i="58"/>
  <c r="T223" i="58"/>
  <c r="L199" i="58"/>
  <c r="L200" i="58"/>
  <c r="R200" i="58" s="1"/>
  <c r="L201" i="58"/>
  <c r="L202" i="58"/>
  <c r="R202" i="58" s="1"/>
  <c r="L203" i="58"/>
  <c r="S200" i="58"/>
  <c r="L181" i="58"/>
  <c r="L182" i="58"/>
  <c r="R182" i="58" s="1"/>
  <c r="L183" i="58"/>
  <c r="R183" i="58" s="1"/>
  <c r="L184" i="58"/>
  <c r="R184" i="58" s="1"/>
  <c r="L185" i="58"/>
  <c r="L186" i="58"/>
  <c r="R186" i="58" s="1"/>
  <c r="L187" i="58"/>
  <c r="R187" i="58" s="1"/>
  <c r="L188" i="58"/>
  <c r="R188" i="58" s="1"/>
  <c r="L189" i="58"/>
  <c r="L190" i="58"/>
  <c r="R190" i="58" s="1"/>
  <c r="S183" i="58"/>
  <c r="T183" i="58"/>
  <c r="L169" i="58"/>
  <c r="T169" i="58" s="1"/>
  <c r="L170" i="58"/>
  <c r="L171" i="58"/>
  <c r="L172" i="58"/>
  <c r="S172" i="58" s="1"/>
  <c r="S170" i="58"/>
  <c r="L155" i="58"/>
  <c r="L156" i="58"/>
  <c r="L157" i="58"/>
  <c r="L158" i="58"/>
  <c r="L159" i="58"/>
  <c r="L160" i="58"/>
  <c r="T160" i="58" s="1"/>
  <c r="S157" i="58"/>
  <c r="T158" i="58"/>
  <c r="L137" i="58"/>
  <c r="L138" i="58"/>
  <c r="S138" i="58" s="1"/>
  <c r="L139" i="58"/>
  <c r="T139" i="58" s="1"/>
  <c r="L140" i="58"/>
  <c r="S140" i="58" s="1"/>
  <c r="L141" i="58"/>
  <c r="L142" i="58"/>
  <c r="S142" i="58" s="1"/>
  <c r="L143" i="58"/>
  <c r="T143" i="58" s="1"/>
  <c r="L144" i="58"/>
  <c r="S144" i="58" s="1"/>
  <c r="L145" i="58"/>
  <c r="L146" i="58"/>
  <c r="S146" i="58" s="1"/>
  <c r="L119" i="58"/>
  <c r="R119" i="58" s="1"/>
  <c r="L120" i="58"/>
  <c r="T120" i="58" s="1"/>
  <c r="L121" i="58"/>
  <c r="L122" i="58"/>
  <c r="S122" i="58" s="1"/>
  <c r="L123" i="58"/>
  <c r="T123" i="58" s="1"/>
  <c r="L124" i="58"/>
  <c r="T124" i="58" s="1"/>
  <c r="L125" i="58"/>
  <c r="R125" i="58"/>
  <c r="L126" i="58"/>
  <c r="L127" i="58"/>
  <c r="L128" i="58"/>
  <c r="S119" i="58"/>
  <c r="S125" i="58"/>
  <c r="S126" i="58"/>
  <c r="T125" i="58"/>
  <c r="T128" i="58"/>
  <c r="L108" i="58"/>
  <c r="L109" i="58"/>
  <c r="R109" i="58" s="1"/>
  <c r="L110" i="58"/>
  <c r="S109" i="58"/>
  <c r="L87" i="58"/>
  <c r="T87" i="58" s="1"/>
  <c r="L88" i="58"/>
  <c r="R88" i="58" s="1"/>
  <c r="L89" i="58"/>
  <c r="R89" i="58" s="1"/>
  <c r="L90" i="58"/>
  <c r="R90" i="58" s="1"/>
  <c r="L91" i="58"/>
  <c r="S91" i="58" s="1"/>
  <c r="L92" i="58"/>
  <c r="R92" i="58" s="1"/>
  <c r="L93" i="58"/>
  <c r="R93" i="58" s="1"/>
  <c r="L94" i="58"/>
  <c r="R94" i="58" s="1"/>
  <c r="L95" i="58"/>
  <c r="L96" i="58"/>
  <c r="R96" i="58" s="1"/>
  <c r="S89" i="58"/>
  <c r="T89" i="58"/>
  <c r="T95" i="58"/>
  <c r="L69" i="58"/>
  <c r="L70" i="58"/>
  <c r="S70" i="58" s="1"/>
  <c r="L71" i="58"/>
  <c r="T71" i="58" s="1"/>
  <c r="L72" i="58"/>
  <c r="L73" i="58"/>
  <c r="L74" i="58"/>
  <c r="S74" i="58" s="1"/>
  <c r="L75" i="58"/>
  <c r="T75" i="58" s="1"/>
  <c r="L76" i="58"/>
  <c r="S76" i="58" s="1"/>
  <c r="L77" i="58"/>
  <c r="L78" i="58"/>
  <c r="S78" i="58" s="1"/>
  <c r="S72" i="58"/>
  <c r="L51" i="58"/>
  <c r="R51" i="58" s="1"/>
  <c r="L52" i="58"/>
  <c r="R52" i="58" s="1"/>
  <c r="L53" i="58"/>
  <c r="S53" i="58" s="1"/>
  <c r="L54" i="58"/>
  <c r="R54" i="58" s="1"/>
  <c r="L55" i="58"/>
  <c r="R55" i="58" s="1"/>
  <c r="L56" i="58"/>
  <c r="R56" i="58" s="1"/>
  <c r="L57" i="58"/>
  <c r="T57" i="58" s="1"/>
  <c r="L58" i="58"/>
  <c r="R58" i="58" s="1"/>
  <c r="L59" i="58"/>
  <c r="R59" i="58" s="1"/>
  <c r="L60" i="58"/>
  <c r="R60" i="58" s="1"/>
  <c r="S51" i="58"/>
  <c r="S59" i="58"/>
  <c r="L237" i="55"/>
  <c r="L238" i="55"/>
  <c r="S238" i="55" s="1"/>
  <c r="L239" i="55"/>
  <c r="T239" i="55" s="1"/>
  <c r="L240" i="55"/>
  <c r="S240" i="55" s="1"/>
  <c r="L241" i="55"/>
  <c r="L242" i="55"/>
  <c r="S242" i="55" s="1"/>
  <c r="L243" i="55"/>
  <c r="T243" i="55" s="1"/>
  <c r="L244" i="55"/>
  <c r="S244" i="55" s="1"/>
  <c r="L245" i="55"/>
  <c r="L246" i="55"/>
  <c r="S246" i="55" s="1"/>
  <c r="L215" i="55"/>
  <c r="R215" i="55" s="1"/>
  <c r="L216" i="55"/>
  <c r="R216" i="55" s="1"/>
  <c r="L217" i="55"/>
  <c r="L218" i="55"/>
  <c r="R218" i="55" s="1"/>
  <c r="L219" i="55"/>
  <c r="R219" i="55" s="1"/>
  <c r="L220" i="55"/>
  <c r="R220" i="55" s="1"/>
  <c r="L221" i="55"/>
  <c r="R221" i="55" s="1"/>
  <c r="L222" i="55"/>
  <c r="R222" i="55" s="1"/>
  <c r="L223" i="55"/>
  <c r="R223" i="55" s="1"/>
  <c r="L224" i="55"/>
  <c r="R224" i="55" s="1"/>
  <c r="S215" i="55"/>
  <c r="T215" i="55"/>
  <c r="L199" i="55"/>
  <c r="L200" i="55"/>
  <c r="R200" i="55" s="1"/>
  <c r="L201" i="55"/>
  <c r="L202" i="55"/>
  <c r="R202" i="55" s="1"/>
  <c r="L203" i="55"/>
  <c r="S200" i="55"/>
  <c r="L181" i="55"/>
  <c r="R181" i="55" s="1"/>
  <c r="L182" i="55"/>
  <c r="R182" i="55" s="1"/>
  <c r="L183" i="55"/>
  <c r="S183" i="55" s="1"/>
  <c r="L184" i="55"/>
  <c r="R184" i="55" s="1"/>
  <c r="L185" i="55"/>
  <c r="R185" i="55" s="1"/>
  <c r="L186" i="55"/>
  <c r="R186" i="55" s="1"/>
  <c r="L187" i="55"/>
  <c r="T187" i="55" s="1"/>
  <c r="L188" i="55"/>
  <c r="R188" i="55" s="1"/>
  <c r="L189" i="55"/>
  <c r="R189" i="55" s="1"/>
  <c r="L190" i="55"/>
  <c r="R190" i="55" s="1"/>
  <c r="S181" i="55"/>
  <c r="S189" i="55"/>
  <c r="T189" i="55"/>
  <c r="L169" i="55"/>
  <c r="T169" i="55" s="1"/>
  <c r="L170" i="55"/>
  <c r="S170" i="55" s="1"/>
  <c r="L171" i="55"/>
  <c r="L172" i="55"/>
  <c r="S172" i="55" s="1"/>
  <c r="L137" i="55"/>
  <c r="R137" i="55" s="1"/>
  <c r="L138" i="55"/>
  <c r="R138" i="55" s="1"/>
  <c r="L139" i="55"/>
  <c r="R139" i="55" s="1"/>
  <c r="L140" i="55"/>
  <c r="R140" i="55" s="1"/>
  <c r="L141" i="55"/>
  <c r="R141" i="55" s="1"/>
  <c r="L142" i="55"/>
  <c r="R142" i="55" s="1"/>
  <c r="L143" i="55"/>
  <c r="R143" i="55" s="1"/>
  <c r="L144" i="55"/>
  <c r="R144" i="55" s="1"/>
  <c r="L145" i="55"/>
  <c r="R145" i="55" s="1"/>
  <c r="L146" i="55"/>
  <c r="R146" i="55" s="1"/>
  <c r="S141" i="55"/>
  <c r="T140" i="55"/>
  <c r="L119" i="55"/>
  <c r="L120" i="55"/>
  <c r="S120" i="55" s="1"/>
  <c r="L121" i="55"/>
  <c r="T121" i="55" s="1"/>
  <c r="L122" i="55"/>
  <c r="S122" i="55" s="1"/>
  <c r="L123" i="55"/>
  <c r="L124" i="55"/>
  <c r="S124" i="55" s="1"/>
  <c r="L125" i="55"/>
  <c r="T125" i="55" s="1"/>
  <c r="L126" i="55"/>
  <c r="S126" i="55" s="1"/>
  <c r="L127" i="55"/>
  <c r="L128" i="55"/>
  <c r="S128" i="55" s="1"/>
  <c r="L108" i="55"/>
  <c r="L109" i="55"/>
  <c r="R109" i="55" s="1"/>
  <c r="L110" i="55"/>
  <c r="R110" i="55" s="1"/>
  <c r="L87" i="55"/>
  <c r="L88" i="55"/>
  <c r="L89" i="55"/>
  <c r="T89" i="55" s="1"/>
  <c r="L90" i="55"/>
  <c r="S90" i="55" s="1"/>
  <c r="L91" i="55"/>
  <c r="T91" i="55" s="1"/>
  <c r="L92" i="55"/>
  <c r="L93" i="55"/>
  <c r="T93" i="55" s="1"/>
  <c r="L94" i="55"/>
  <c r="S94" i="55" s="1"/>
  <c r="L95" i="55"/>
  <c r="T95" i="55" s="1"/>
  <c r="L96" i="55"/>
  <c r="T87" i="55"/>
  <c r="G3" i="67"/>
  <c r="AA9" i="26"/>
  <c r="AC58" i="26" s="1"/>
  <c r="W9" i="26"/>
  <c r="Y58" i="26" s="1"/>
  <c r="S9" i="26"/>
  <c r="U58" i="26" s="1"/>
  <c r="O9" i="26"/>
  <c r="Q58" i="26" s="1"/>
  <c r="K9" i="26"/>
  <c r="M58" i="26" s="1"/>
  <c r="G9" i="26"/>
  <c r="I58" i="26" s="1"/>
  <c r="F27" i="40"/>
  <c r="L200" i="63"/>
  <c r="L201" i="63"/>
  <c r="AI33" i="26"/>
  <c r="AI29" i="26"/>
  <c r="AI17" i="26"/>
  <c r="AI15" i="26"/>
  <c r="AE52" i="26"/>
  <c r="AA52" i="26"/>
  <c r="W52" i="26"/>
  <c r="S52" i="26"/>
  <c r="O52" i="26"/>
  <c r="K52" i="26"/>
  <c r="G52" i="26"/>
  <c r="C52" i="26"/>
  <c r="B2" i="34"/>
  <c r="A109" i="34" s="1"/>
  <c r="B109" i="34" s="1"/>
  <c r="B6" i="31"/>
  <c r="B7" i="31"/>
  <c r="B8" i="31"/>
  <c r="B82" i="34"/>
  <c r="B77" i="34"/>
  <c r="B72" i="34"/>
  <c r="B65" i="34"/>
  <c r="B60" i="34"/>
  <c r="B55" i="34"/>
  <c r="B50" i="34"/>
  <c r="B45" i="34"/>
  <c r="B40" i="34"/>
  <c r="B26" i="34"/>
  <c r="B21" i="34"/>
  <c r="B16" i="34"/>
  <c r="B11" i="34"/>
  <c r="A110" i="34"/>
  <c r="A105" i="34"/>
  <c r="A100" i="34"/>
  <c r="A95" i="34"/>
  <c r="A90" i="34"/>
  <c r="A83" i="34"/>
  <c r="A78" i="34"/>
  <c r="A73" i="34"/>
  <c r="A66" i="34"/>
  <c r="A61" i="34"/>
  <c r="A56" i="34"/>
  <c r="A51" i="34"/>
  <c r="A46" i="34"/>
  <c r="A41" i="34"/>
  <c r="A33" i="34"/>
  <c r="A27" i="34"/>
  <c r="A22" i="34"/>
  <c r="A17" i="34"/>
  <c r="A12" i="34"/>
  <c r="A7" i="34"/>
  <c r="B6" i="34"/>
  <c r="A37" i="34"/>
  <c r="A5" i="57"/>
  <c r="E5" i="67"/>
  <c r="E3" i="26"/>
  <c r="M5" i="26"/>
  <c r="C5" i="26"/>
  <c r="D285" i="55"/>
  <c r="C285" i="55" s="1"/>
  <c r="D284" i="55"/>
  <c r="C284" i="55" s="1"/>
  <c r="D283" i="55"/>
  <c r="C283" i="55" s="1"/>
  <c r="D282" i="55"/>
  <c r="C282" i="55" s="1"/>
  <c r="D281" i="55"/>
  <c r="C281" i="55" s="1"/>
  <c r="D280" i="55"/>
  <c r="C280" i="55" s="1"/>
  <c r="D279" i="55"/>
  <c r="C279" i="55" s="1"/>
  <c r="D278" i="55"/>
  <c r="C278" i="55" s="1"/>
  <c r="D277" i="55"/>
  <c r="C277" i="55" s="1"/>
  <c r="D276" i="55"/>
  <c r="C276" i="55" s="1"/>
  <c r="D275" i="55"/>
  <c r="C275" i="55" s="1"/>
  <c r="D274" i="55"/>
  <c r="C274" i="55" s="1"/>
  <c r="D273" i="55"/>
  <c r="C273" i="55" s="1"/>
  <c r="D272" i="55"/>
  <c r="C272" i="55" s="1"/>
  <c r="D271" i="55"/>
  <c r="C271" i="55" s="1"/>
  <c r="D270" i="55"/>
  <c r="C270" i="55" s="1"/>
  <c r="D269" i="55"/>
  <c r="C269" i="55" s="1"/>
  <c r="D268" i="55"/>
  <c r="C268" i="55" s="1"/>
  <c r="D267" i="55"/>
  <c r="C267" i="55" s="1"/>
  <c r="D266" i="55"/>
  <c r="C266" i="55" s="1"/>
  <c r="D265" i="55"/>
  <c r="C265" i="55" s="1"/>
  <c r="D264" i="55"/>
  <c r="C264" i="55" s="1"/>
  <c r="D263" i="55"/>
  <c r="C263" i="55" s="1"/>
  <c r="D262" i="55"/>
  <c r="C262" i="55" s="1"/>
  <c r="D285" i="58"/>
  <c r="C285" i="58" s="1"/>
  <c r="V23" i="58"/>
  <c r="V24" i="58"/>
  <c r="V25" i="58"/>
  <c r="V26" i="58"/>
  <c r="V27" i="58"/>
  <c r="V28" i="58"/>
  <c r="V29" i="58"/>
  <c r="V30" i="58"/>
  <c r="V31" i="58"/>
  <c r="V32" i="58"/>
  <c r="V33" i="58"/>
  <c r="V34" i="58"/>
  <c r="V35" i="58"/>
  <c r="V36" i="58"/>
  <c r="V37" i="58"/>
  <c r="V51" i="58"/>
  <c r="V52" i="58"/>
  <c r="V53" i="58"/>
  <c r="V54" i="58"/>
  <c r="V55" i="58"/>
  <c r="V56" i="58"/>
  <c r="V57" i="58"/>
  <c r="V58" i="58"/>
  <c r="V59" i="58"/>
  <c r="V60" i="58"/>
  <c r="V69" i="58"/>
  <c r="V70" i="58"/>
  <c r="V71" i="58"/>
  <c r="V72" i="58"/>
  <c r="V73" i="58"/>
  <c r="V74" i="58"/>
  <c r="V75" i="58"/>
  <c r="V76" i="58"/>
  <c r="V77" i="58"/>
  <c r="V78" i="58"/>
  <c r="V87" i="58"/>
  <c r="V88" i="58"/>
  <c r="V89" i="58"/>
  <c r="V90" i="58"/>
  <c r="V91" i="58"/>
  <c r="V92" i="58"/>
  <c r="V93" i="58"/>
  <c r="V94" i="58"/>
  <c r="V95" i="58"/>
  <c r="V96" i="58"/>
  <c r="V108" i="58"/>
  <c r="V109" i="58"/>
  <c r="V110" i="58"/>
  <c r="V119" i="58"/>
  <c r="V120" i="58"/>
  <c r="V121" i="58"/>
  <c r="V122" i="58"/>
  <c r="V123" i="58"/>
  <c r="V124" i="58"/>
  <c r="V125" i="58"/>
  <c r="V126" i="58"/>
  <c r="V127" i="58"/>
  <c r="V128" i="58"/>
  <c r="V137" i="58"/>
  <c r="V138" i="58"/>
  <c r="V139" i="58"/>
  <c r="V140" i="58"/>
  <c r="V141" i="58"/>
  <c r="V142" i="58"/>
  <c r="V143" i="58"/>
  <c r="V144" i="58"/>
  <c r="V145" i="58"/>
  <c r="V146" i="58"/>
  <c r="V155" i="58"/>
  <c r="V156" i="58"/>
  <c r="V157" i="58"/>
  <c r="V158" i="58"/>
  <c r="V159" i="58"/>
  <c r="V160" i="58"/>
  <c r="V169" i="58"/>
  <c r="V170" i="58"/>
  <c r="V171" i="58"/>
  <c r="V172" i="58"/>
  <c r="V181" i="58"/>
  <c r="V182" i="58"/>
  <c r="V183" i="58"/>
  <c r="V184" i="58"/>
  <c r="V185" i="58"/>
  <c r="V186" i="58"/>
  <c r="V187" i="58"/>
  <c r="V188" i="58"/>
  <c r="V189" i="58"/>
  <c r="V190" i="58"/>
  <c r="V199" i="58"/>
  <c r="V215" i="58"/>
  <c r="V216" i="58"/>
  <c r="V217" i="58"/>
  <c r="V218" i="58"/>
  <c r="V219" i="58"/>
  <c r="V220" i="58"/>
  <c r="V221" i="58"/>
  <c r="V222" i="58"/>
  <c r="V223" i="58"/>
  <c r="V224" i="58"/>
  <c r="V237" i="58"/>
  <c r="V238" i="58"/>
  <c r="V239" i="58"/>
  <c r="V240" i="58"/>
  <c r="V241" i="58"/>
  <c r="V242" i="58"/>
  <c r="V243" i="58"/>
  <c r="V244" i="58"/>
  <c r="V245" i="58"/>
  <c r="V246" i="58"/>
  <c r="V255" i="58"/>
  <c r="V256" i="58"/>
  <c r="V257" i="58"/>
  <c r="V258" i="58"/>
  <c r="P5" i="58"/>
  <c r="L255" i="58"/>
  <c r="T255" i="58" s="1"/>
  <c r="L256" i="58"/>
  <c r="S256" i="58" s="1"/>
  <c r="L257" i="58"/>
  <c r="L258" i="58"/>
  <c r="D284" i="58"/>
  <c r="C284" i="58" s="1"/>
  <c r="D283" i="58"/>
  <c r="C283" i="58" s="1"/>
  <c r="D282" i="58"/>
  <c r="C282" i="58" s="1"/>
  <c r="D281" i="58"/>
  <c r="C281" i="58" s="1"/>
  <c r="D280" i="58"/>
  <c r="C280" i="58" s="1"/>
  <c r="D279" i="58"/>
  <c r="C279" i="58" s="1"/>
  <c r="D278" i="58"/>
  <c r="C278" i="58" s="1"/>
  <c r="D277" i="58"/>
  <c r="C277" i="58" s="1"/>
  <c r="D276" i="58"/>
  <c r="C276" i="58" s="1"/>
  <c r="D275" i="58"/>
  <c r="C275" i="58" s="1"/>
  <c r="D274" i="58"/>
  <c r="C274" i="58" s="1"/>
  <c r="D273" i="58"/>
  <c r="C273" i="58" s="1"/>
  <c r="D272" i="58"/>
  <c r="C272" i="58" s="1"/>
  <c r="D271" i="58"/>
  <c r="C271" i="58" s="1"/>
  <c r="D270" i="58"/>
  <c r="C270" i="58" s="1"/>
  <c r="D269" i="58"/>
  <c r="C269" i="58" s="1"/>
  <c r="D268" i="58"/>
  <c r="C268" i="58" s="1"/>
  <c r="D267" i="58"/>
  <c r="C267" i="58" s="1"/>
  <c r="D266" i="58"/>
  <c r="C266" i="58" s="1"/>
  <c r="D265" i="58"/>
  <c r="C265" i="58" s="1"/>
  <c r="D264" i="58"/>
  <c r="C264" i="58" s="1"/>
  <c r="D263" i="58"/>
  <c r="C263" i="58" s="1"/>
  <c r="D262" i="58"/>
  <c r="C262" i="58" s="1"/>
  <c r="D285" i="64"/>
  <c r="C285" i="64" s="1"/>
  <c r="V23" i="64"/>
  <c r="V24" i="64"/>
  <c r="V25" i="64"/>
  <c r="V26" i="64"/>
  <c r="V27" i="64"/>
  <c r="V28" i="64"/>
  <c r="V29" i="64"/>
  <c r="V30" i="64"/>
  <c r="V31" i="64"/>
  <c r="V32" i="64"/>
  <c r="V33" i="64"/>
  <c r="V34" i="64"/>
  <c r="V35" i="64"/>
  <c r="V36" i="64"/>
  <c r="V37" i="64"/>
  <c r="V51" i="64"/>
  <c r="V52" i="64"/>
  <c r="V53" i="64"/>
  <c r="V54" i="64"/>
  <c r="V55" i="64"/>
  <c r="V56" i="64"/>
  <c r="V57" i="64"/>
  <c r="V58" i="64"/>
  <c r="V59" i="64"/>
  <c r="V60" i="64"/>
  <c r="V69" i="64"/>
  <c r="V70" i="64"/>
  <c r="V71" i="64"/>
  <c r="V72" i="64"/>
  <c r="V73" i="64"/>
  <c r="V74" i="64"/>
  <c r="V75" i="64"/>
  <c r="V76" i="64"/>
  <c r="V77" i="64"/>
  <c r="V78" i="64"/>
  <c r="V87" i="64"/>
  <c r="V88" i="64"/>
  <c r="V89" i="64"/>
  <c r="V90" i="64"/>
  <c r="V91" i="64"/>
  <c r="V92" i="64"/>
  <c r="V93" i="64"/>
  <c r="V94" i="64"/>
  <c r="V95" i="64"/>
  <c r="V96" i="64"/>
  <c r="V108" i="64"/>
  <c r="V109" i="64"/>
  <c r="V110" i="64"/>
  <c r="V119" i="64"/>
  <c r="V120" i="64"/>
  <c r="V121" i="64"/>
  <c r="V122" i="64"/>
  <c r="V123" i="64"/>
  <c r="V124" i="64"/>
  <c r="V125" i="64"/>
  <c r="V126" i="64"/>
  <c r="V127" i="64"/>
  <c r="V128" i="64"/>
  <c r="V137" i="64"/>
  <c r="V138" i="64"/>
  <c r="V139" i="64"/>
  <c r="V140" i="64"/>
  <c r="V141" i="64"/>
  <c r="V142" i="64"/>
  <c r="V143" i="64"/>
  <c r="V144" i="64"/>
  <c r="V145" i="64"/>
  <c r="V146" i="64"/>
  <c r="V155" i="64"/>
  <c r="V156" i="64"/>
  <c r="V157" i="64"/>
  <c r="V158" i="64"/>
  <c r="V159" i="64"/>
  <c r="V160" i="64"/>
  <c r="V169" i="64"/>
  <c r="V170" i="64"/>
  <c r="V171" i="64"/>
  <c r="V172" i="64"/>
  <c r="V181" i="64"/>
  <c r="V182" i="64"/>
  <c r="V183" i="64"/>
  <c r="V184" i="64"/>
  <c r="V185" i="64"/>
  <c r="V186" i="64"/>
  <c r="V187" i="64"/>
  <c r="V188" i="64"/>
  <c r="V189" i="64"/>
  <c r="V190" i="64"/>
  <c r="V199" i="64"/>
  <c r="V215" i="64"/>
  <c r="V216" i="64"/>
  <c r="V217" i="64"/>
  <c r="V218" i="64"/>
  <c r="V219" i="64"/>
  <c r="V220" i="64"/>
  <c r="V221" i="64"/>
  <c r="V222" i="64"/>
  <c r="V223" i="64"/>
  <c r="V224" i="64"/>
  <c r="V237" i="64"/>
  <c r="V238" i="64"/>
  <c r="V239" i="64"/>
  <c r="V240" i="64"/>
  <c r="V241" i="64"/>
  <c r="V242" i="64"/>
  <c r="V243" i="64"/>
  <c r="V244" i="64"/>
  <c r="V245" i="64"/>
  <c r="V246" i="64"/>
  <c r="V255" i="64"/>
  <c r="V256" i="64"/>
  <c r="V257" i="64"/>
  <c r="V258" i="64"/>
  <c r="P5" i="64"/>
  <c r="D284" i="64"/>
  <c r="C284" i="64" s="1"/>
  <c r="D283" i="64"/>
  <c r="C283" i="64" s="1"/>
  <c r="D282" i="64"/>
  <c r="C282" i="64" s="1"/>
  <c r="D281" i="64"/>
  <c r="C281" i="64" s="1"/>
  <c r="D280" i="64"/>
  <c r="C280" i="64" s="1"/>
  <c r="D279" i="64"/>
  <c r="C279" i="64" s="1"/>
  <c r="D278" i="64"/>
  <c r="C278" i="64" s="1"/>
  <c r="D277" i="64"/>
  <c r="C277" i="64" s="1"/>
  <c r="D276" i="64"/>
  <c r="C276" i="64" s="1"/>
  <c r="D275" i="64"/>
  <c r="C275" i="64" s="1"/>
  <c r="D274" i="64"/>
  <c r="C274" i="64" s="1"/>
  <c r="D273" i="64"/>
  <c r="C273" i="64" s="1"/>
  <c r="D272" i="64"/>
  <c r="C272" i="64" s="1"/>
  <c r="D271" i="64"/>
  <c r="C271" i="64" s="1"/>
  <c r="D270" i="64"/>
  <c r="C270" i="64" s="1"/>
  <c r="D269" i="64"/>
  <c r="C269" i="64" s="1"/>
  <c r="D268" i="64"/>
  <c r="C268" i="64" s="1"/>
  <c r="D267" i="64"/>
  <c r="C267" i="64" s="1"/>
  <c r="D266" i="64"/>
  <c r="C266" i="64" s="1"/>
  <c r="D265" i="64"/>
  <c r="C265" i="64" s="1"/>
  <c r="D264" i="64"/>
  <c r="C264" i="64" s="1"/>
  <c r="D263" i="64"/>
  <c r="C263" i="64" s="1"/>
  <c r="D262" i="64"/>
  <c r="C262" i="64" s="1"/>
  <c r="D285" i="59"/>
  <c r="C285" i="59" s="1"/>
  <c r="V23" i="59"/>
  <c r="V24" i="59"/>
  <c r="V25" i="59"/>
  <c r="V26" i="59"/>
  <c r="V27" i="59"/>
  <c r="V28" i="59"/>
  <c r="V29" i="59"/>
  <c r="V30" i="59"/>
  <c r="V31" i="59"/>
  <c r="V32" i="59"/>
  <c r="V33" i="59"/>
  <c r="V34" i="59"/>
  <c r="V35" i="59"/>
  <c r="V36" i="59"/>
  <c r="V37" i="59"/>
  <c r="V51" i="59"/>
  <c r="V52" i="59"/>
  <c r="V53" i="59"/>
  <c r="V54" i="59"/>
  <c r="V55" i="59"/>
  <c r="V56" i="59"/>
  <c r="V57" i="59"/>
  <c r="V58" i="59"/>
  <c r="V59" i="59"/>
  <c r="V60" i="59"/>
  <c r="V69" i="59"/>
  <c r="V70" i="59"/>
  <c r="V71" i="59"/>
  <c r="V72" i="59"/>
  <c r="V73" i="59"/>
  <c r="V74" i="59"/>
  <c r="V75" i="59"/>
  <c r="V76" i="59"/>
  <c r="V77" i="59"/>
  <c r="V78" i="59"/>
  <c r="V87" i="59"/>
  <c r="V88" i="59"/>
  <c r="V89" i="59"/>
  <c r="V90" i="59"/>
  <c r="V91" i="59"/>
  <c r="V92" i="59"/>
  <c r="V93" i="59"/>
  <c r="V94" i="59"/>
  <c r="V95" i="59"/>
  <c r="V96" i="59"/>
  <c r="V108" i="59"/>
  <c r="V109" i="59"/>
  <c r="V110" i="59"/>
  <c r="V119" i="59"/>
  <c r="V120" i="59"/>
  <c r="V121" i="59"/>
  <c r="V122" i="59"/>
  <c r="V123" i="59"/>
  <c r="V124" i="59"/>
  <c r="V125" i="59"/>
  <c r="V126" i="59"/>
  <c r="V127" i="59"/>
  <c r="V128" i="59"/>
  <c r="V137" i="59"/>
  <c r="V138" i="59"/>
  <c r="V139" i="59"/>
  <c r="V140" i="59"/>
  <c r="V141" i="59"/>
  <c r="V142" i="59"/>
  <c r="V143" i="59"/>
  <c r="V144" i="59"/>
  <c r="V145" i="59"/>
  <c r="V146" i="59"/>
  <c r="V155" i="59"/>
  <c r="V156" i="59"/>
  <c r="V157" i="59"/>
  <c r="V158" i="59"/>
  <c r="V159" i="59"/>
  <c r="V160" i="59"/>
  <c r="V169" i="59"/>
  <c r="V170" i="59"/>
  <c r="V171" i="59"/>
  <c r="V172" i="59"/>
  <c r="V181" i="59"/>
  <c r="V182" i="59"/>
  <c r="V183" i="59"/>
  <c r="V184" i="59"/>
  <c r="V185" i="59"/>
  <c r="V186" i="59"/>
  <c r="V187" i="59"/>
  <c r="V188" i="59"/>
  <c r="V189" i="59"/>
  <c r="V190" i="59"/>
  <c r="V199" i="59"/>
  <c r="V215" i="59"/>
  <c r="V216" i="59"/>
  <c r="V217" i="59"/>
  <c r="V218" i="59"/>
  <c r="V219" i="59"/>
  <c r="V220" i="59"/>
  <c r="V221" i="59"/>
  <c r="V222" i="59"/>
  <c r="V223" i="59"/>
  <c r="V224" i="59"/>
  <c r="V237" i="59"/>
  <c r="V238" i="59"/>
  <c r="V239" i="59"/>
  <c r="V240" i="59"/>
  <c r="V241" i="59"/>
  <c r="V242" i="59"/>
  <c r="V243" i="59"/>
  <c r="V244" i="59"/>
  <c r="V245" i="59"/>
  <c r="V246" i="59"/>
  <c r="V255" i="59"/>
  <c r="V256" i="59"/>
  <c r="V257" i="59"/>
  <c r="V258" i="59"/>
  <c r="P5" i="59"/>
  <c r="D1" i="59" s="1"/>
  <c r="L226" i="59" s="1"/>
  <c r="D284" i="59"/>
  <c r="C284" i="59" s="1"/>
  <c r="D283" i="59"/>
  <c r="C283" i="59" s="1"/>
  <c r="D282" i="59"/>
  <c r="C282" i="59" s="1"/>
  <c r="D281" i="59"/>
  <c r="C281" i="59" s="1"/>
  <c r="D280" i="59"/>
  <c r="C280" i="59" s="1"/>
  <c r="D279" i="59"/>
  <c r="C279" i="59" s="1"/>
  <c r="D278" i="59"/>
  <c r="C278" i="59" s="1"/>
  <c r="D277" i="59"/>
  <c r="C277" i="59" s="1"/>
  <c r="D276" i="59"/>
  <c r="C276" i="59" s="1"/>
  <c r="D275" i="59"/>
  <c r="C275" i="59" s="1"/>
  <c r="D274" i="59"/>
  <c r="C274" i="59" s="1"/>
  <c r="D273" i="59"/>
  <c r="C273" i="59" s="1"/>
  <c r="D272" i="59"/>
  <c r="C272" i="59" s="1"/>
  <c r="D271" i="59"/>
  <c r="C271" i="59" s="1"/>
  <c r="D270" i="59"/>
  <c r="C270" i="59" s="1"/>
  <c r="D269" i="59"/>
  <c r="C269" i="59" s="1"/>
  <c r="D268" i="59"/>
  <c r="C268" i="59" s="1"/>
  <c r="D267" i="59"/>
  <c r="C267" i="59" s="1"/>
  <c r="D266" i="59"/>
  <c r="C266" i="59" s="1"/>
  <c r="D265" i="59"/>
  <c r="C265" i="59" s="1"/>
  <c r="D264" i="59"/>
  <c r="C264" i="59" s="1"/>
  <c r="D263" i="59"/>
  <c r="C263" i="59" s="1"/>
  <c r="D262" i="59"/>
  <c r="C262" i="59" s="1"/>
  <c r="D285" i="60"/>
  <c r="C285" i="60" s="1"/>
  <c r="V23" i="60"/>
  <c r="V24" i="60"/>
  <c r="V25" i="60"/>
  <c r="V26" i="60"/>
  <c r="V27" i="60"/>
  <c r="V28" i="60"/>
  <c r="V29" i="60"/>
  <c r="V30" i="60"/>
  <c r="V31" i="60"/>
  <c r="V32" i="60"/>
  <c r="V33" i="60"/>
  <c r="V34" i="60"/>
  <c r="V35" i="60"/>
  <c r="V36" i="60"/>
  <c r="V37" i="60"/>
  <c r="V51" i="60"/>
  <c r="V52" i="60"/>
  <c r="V53" i="60"/>
  <c r="V54" i="60"/>
  <c r="V55" i="60"/>
  <c r="V56" i="60"/>
  <c r="V57" i="60"/>
  <c r="V58" i="60"/>
  <c r="V59" i="60"/>
  <c r="V60" i="60"/>
  <c r="V69" i="60"/>
  <c r="V70" i="60"/>
  <c r="V71" i="60"/>
  <c r="V72" i="60"/>
  <c r="V73" i="60"/>
  <c r="V74" i="60"/>
  <c r="V75" i="60"/>
  <c r="V76" i="60"/>
  <c r="V77" i="60"/>
  <c r="V78" i="60"/>
  <c r="V87" i="60"/>
  <c r="V88" i="60"/>
  <c r="V89" i="60"/>
  <c r="V90" i="60"/>
  <c r="V91" i="60"/>
  <c r="V92" i="60"/>
  <c r="V93" i="60"/>
  <c r="V94" i="60"/>
  <c r="V95" i="60"/>
  <c r="V96" i="60"/>
  <c r="V108" i="60"/>
  <c r="V109" i="60"/>
  <c r="V110" i="60"/>
  <c r="V119" i="60"/>
  <c r="V120" i="60"/>
  <c r="V121" i="60"/>
  <c r="V122" i="60"/>
  <c r="V123" i="60"/>
  <c r="V124" i="60"/>
  <c r="V125" i="60"/>
  <c r="V126" i="60"/>
  <c r="V127" i="60"/>
  <c r="V128" i="60"/>
  <c r="V137" i="60"/>
  <c r="V138" i="60"/>
  <c r="V139" i="60"/>
  <c r="V140" i="60"/>
  <c r="V141" i="60"/>
  <c r="V142" i="60"/>
  <c r="V143" i="60"/>
  <c r="V144" i="60"/>
  <c r="V145" i="60"/>
  <c r="V146" i="60"/>
  <c r="V155" i="60"/>
  <c r="V156" i="60"/>
  <c r="V157" i="60"/>
  <c r="V158" i="60"/>
  <c r="V159" i="60"/>
  <c r="V160" i="60"/>
  <c r="V169" i="60"/>
  <c r="V170" i="60"/>
  <c r="V171" i="60"/>
  <c r="V172" i="60"/>
  <c r="V181" i="60"/>
  <c r="V182" i="60"/>
  <c r="V183" i="60"/>
  <c r="V184" i="60"/>
  <c r="V185" i="60"/>
  <c r="V186" i="60"/>
  <c r="V187" i="60"/>
  <c r="V188" i="60"/>
  <c r="V189" i="60"/>
  <c r="V190" i="60"/>
  <c r="V199" i="60"/>
  <c r="V215" i="60"/>
  <c r="V216" i="60"/>
  <c r="V217" i="60"/>
  <c r="V218" i="60"/>
  <c r="V219" i="60"/>
  <c r="V220" i="60"/>
  <c r="V221" i="60"/>
  <c r="V222" i="60"/>
  <c r="V223" i="60"/>
  <c r="V224" i="60"/>
  <c r="V237" i="60"/>
  <c r="V238" i="60"/>
  <c r="V239" i="60"/>
  <c r="V240" i="60"/>
  <c r="V241" i="60"/>
  <c r="V242" i="60"/>
  <c r="V243" i="60"/>
  <c r="V244" i="60"/>
  <c r="V245" i="60"/>
  <c r="V246" i="60"/>
  <c r="V255" i="60"/>
  <c r="V256" i="60"/>
  <c r="V257" i="60"/>
  <c r="V258" i="60"/>
  <c r="P5" i="60"/>
  <c r="D284" i="60"/>
  <c r="C284" i="60" s="1"/>
  <c r="D283" i="60"/>
  <c r="C283" i="60" s="1"/>
  <c r="D282" i="60"/>
  <c r="C282" i="60" s="1"/>
  <c r="D281" i="60"/>
  <c r="C281" i="60" s="1"/>
  <c r="D280" i="60"/>
  <c r="C280" i="60" s="1"/>
  <c r="D279" i="60"/>
  <c r="C279" i="60" s="1"/>
  <c r="D278" i="60"/>
  <c r="C278" i="60" s="1"/>
  <c r="D277" i="60"/>
  <c r="C277" i="60" s="1"/>
  <c r="D276" i="60"/>
  <c r="C276" i="60" s="1"/>
  <c r="D275" i="60"/>
  <c r="C275" i="60" s="1"/>
  <c r="D274" i="60"/>
  <c r="C274" i="60" s="1"/>
  <c r="D273" i="60"/>
  <c r="C273" i="60" s="1"/>
  <c r="D272" i="60"/>
  <c r="C272" i="60" s="1"/>
  <c r="D271" i="60"/>
  <c r="C271" i="60" s="1"/>
  <c r="D270" i="60"/>
  <c r="C270" i="60" s="1"/>
  <c r="D269" i="60"/>
  <c r="C269" i="60" s="1"/>
  <c r="D268" i="60"/>
  <c r="C268" i="60" s="1"/>
  <c r="D267" i="60"/>
  <c r="C267" i="60" s="1"/>
  <c r="D266" i="60"/>
  <c r="C266" i="60" s="1"/>
  <c r="D265" i="60"/>
  <c r="C265" i="60" s="1"/>
  <c r="D264" i="60"/>
  <c r="C264" i="60" s="1"/>
  <c r="D263" i="60"/>
  <c r="C263" i="60" s="1"/>
  <c r="D262" i="60"/>
  <c r="C262" i="60" s="1"/>
  <c r="D285" i="61"/>
  <c r="C285" i="61" s="1"/>
  <c r="V23" i="61"/>
  <c r="V24" i="61"/>
  <c r="V25" i="61"/>
  <c r="V26" i="61"/>
  <c r="V27" i="61"/>
  <c r="V28" i="61"/>
  <c r="V29" i="61"/>
  <c r="V30" i="61"/>
  <c r="V31" i="61"/>
  <c r="V32" i="61"/>
  <c r="V33" i="61"/>
  <c r="V34" i="61"/>
  <c r="V35" i="61"/>
  <c r="V36" i="61"/>
  <c r="V37" i="61"/>
  <c r="V51" i="61"/>
  <c r="V52" i="61"/>
  <c r="V53" i="61"/>
  <c r="V54" i="61"/>
  <c r="V55" i="61"/>
  <c r="V56" i="61"/>
  <c r="V57" i="61"/>
  <c r="V58" i="61"/>
  <c r="V59" i="61"/>
  <c r="V60" i="61"/>
  <c r="V69" i="61"/>
  <c r="V70" i="61"/>
  <c r="V71" i="61"/>
  <c r="V72" i="61"/>
  <c r="V73" i="61"/>
  <c r="V74" i="61"/>
  <c r="V75" i="61"/>
  <c r="V76" i="61"/>
  <c r="V77" i="61"/>
  <c r="V78" i="61"/>
  <c r="V87" i="61"/>
  <c r="V88" i="61"/>
  <c r="V89" i="61"/>
  <c r="V90" i="61"/>
  <c r="V91" i="61"/>
  <c r="V92" i="61"/>
  <c r="V93" i="61"/>
  <c r="V94" i="61"/>
  <c r="V95" i="61"/>
  <c r="V96" i="61"/>
  <c r="V108" i="61"/>
  <c r="V109" i="61"/>
  <c r="V110" i="61"/>
  <c r="V119" i="61"/>
  <c r="V120" i="61"/>
  <c r="V121" i="61"/>
  <c r="V122" i="61"/>
  <c r="V123" i="61"/>
  <c r="V124" i="61"/>
  <c r="V125" i="61"/>
  <c r="V126" i="61"/>
  <c r="V127" i="61"/>
  <c r="V128" i="61"/>
  <c r="V137" i="61"/>
  <c r="V138" i="61"/>
  <c r="V139" i="61"/>
  <c r="V140" i="61"/>
  <c r="V141" i="61"/>
  <c r="V142" i="61"/>
  <c r="V143" i="61"/>
  <c r="V144" i="61"/>
  <c r="V145" i="61"/>
  <c r="V146" i="61"/>
  <c r="V155" i="61"/>
  <c r="V156" i="61"/>
  <c r="V157" i="61"/>
  <c r="V158" i="61"/>
  <c r="V159" i="61"/>
  <c r="V160" i="61"/>
  <c r="V169" i="61"/>
  <c r="V170" i="61"/>
  <c r="V171" i="61"/>
  <c r="V172" i="61"/>
  <c r="V181" i="61"/>
  <c r="V182" i="61"/>
  <c r="V183" i="61"/>
  <c r="V184" i="61"/>
  <c r="V185" i="61"/>
  <c r="V186" i="61"/>
  <c r="V187" i="61"/>
  <c r="V188" i="61"/>
  <c r="V189" i="61"/>
  <c r="V190" i="61"/>
  <c r="V199" i="61"/>
  <c r="V215" i="61"/>
  <c r="V216" i="61"/>
  <c r="V217" i="61"/>
  <c r="V218" i="61"/>
  <c r="V219" i="61"/>
  <c r="V220" i="61"/>
  <c r="V221" i="61"/>
  <c r="V222" i="61"/>
  <c r="V223" i="61"/>
  <c r="V224" i="61"/>
  <c r="V237" i="61"/>
  <c r="V238" i="61"/>
  <c r="V239" i="61"/>
  <c r="V240" i="61"/>
  <c r="V241" i="61"/>
  <c r="V242" i="61"/>
  <c r="V243" i="61"/>
  <c r="V244" i="61"/>
  <c r="V245" i="61"/>
  <c r="V246" i="61"/>
  <c r="V255" i="61"/>
  <c r="V256" i="61"/>
  <c r="V257" i="61"/>
  <c r="V258" i="61"/>
  <c r="P5" i="61"/>
  <c r="D1" i="61" s="1"/>
  <c r="L226" i="61" s="1"/>
  <c r="D284" i="61"/>
  <c r="C284" i="61" s="1"/>
  <c r="D283" i="61"/>
  <c r="C283" i="61" s="1"/>
  <c r="D282" i="61"/>
  <c r="C282" i="61" s="1"/>
  <c r="D281" i="61"/>
  <c r="C281" i="61" s="1"/>
  <c r="D280" i="61"/>
  <c r="C280" i="61" s="1"/>
  <c r="D279" i="61"/>
  <c r="C279" i="61" s="1"/>
  <c r="D278" i="61"/>
  <c r="C278" i="61" s="1"/>
  <c r="D277" i="61"/>
  <c r="C277" i="61" s="1"/>
  <c r="D276" i="61"/>
  <c r="C276" i="61" s="1"/>
  <c r="D275" i="61"/>
  <c r="C275" i="61" s="1"/>
  <c r="D274" i="61"/>
  <c r="C274" i="61" s="1"/>
  <c r="D273" i="61"/>
  <c r="C273" i="61" s="1"/>
  <c r="D272" i="61"/>
  <c r="C272" i="61" s="1"/>
  <c r="D271" i="61"/>
  <c r="C271" i="61" s="1"/>
  <c r="D270" i="61"/>
  <c r="C270" i="61" s="1"/>
  <c r="D269" i="61"/>
  <c r="C269" i="61" s="1"/>
  <c r="D268" i="61"/>
  <c r="C268" i="61" s="1"/>
  <c r="D267" i="61"/>
  <c r="C267" i="61" s="1"/>
  <c r="D266" i="61"/>
  <c r="C266" i="61" s="1"/>
  <c r="D265" i="61"/>
  <c r="C265" i="61" s="1"/>
  <c r="D264" i="61"/>
  <c r="C264" i="61" s="1"/>
  <c r="D263" i="61"/>
  <c r="C263" i="61" s="1"/>
  <c r="D262" i="61"/>
  <c r="C262" i="61" s="1"/>
  <c r="D285" i="62"/>
  <c r="C285" i="62" s="1"/>
  <c r="V23" i="62"/>
  <c r="V24" i="62"/>
  <c r="V25" i="62"/>
  <c r="V26" i="62"/>
  <c r="V27" i="62"/>
  <c r="V28" i="62"/>
  <c r="V29" i="62"/>
  <c r="V30" i="62"/>
  <c r="V31" i="62"/>
  <c r="V32" i="62"/>
  <c r="V33" i="62"/>
  <c r="V34" i="62"/>
  <c r="V35" i="62"/>
  <c r="V36" i="62"/>
  <c r="V37" i="62"/>
  <c r="V51" i="62"/>
  <c r="V52" i="62"/>
  <c r="V53" i="62"/>
  <c r="V54" i="62"/>
  <c r="V55" i="62"/>
  <c r="V56" i="62"/>
  <c r="V57" i="62"/>
  <c r="V58" i="62"/>
  <c r="V59" i="62"/>
  <c r="V60" i="62"/>
  <c r="V69" i="62"/>
  <c r="V70" i="62"/>
  <c r="V71" i="62"/>
  <c r="V72" i="62"/>
  <c r="V73" i="62"/>
  <c r="V74" i="62"/>
  <c r="V75" i="62"/>
  <c r="V76" i="62"/>
  <c r="V77" i="62"/>
  <c r="V78" i="62"/>
  <c r="V87" i="62"/>
  <c r="V88" i="62"/>
  <c r="V89" i="62"/>
  <c r="V90" i="62"/>
  <c r="V91" i="62"/>
  <c r="V92" i="62"/>
  <c r="V93" i="62"/>
  <c r="V94" i="62"/>
  <c r="V95" i="62"/>
  <c r="V96" i="62"/>
  <c r="V108" i="62"/>
  <c r="V109" i="62"/>
  <c r="V110" i="62"/>
  <c r="V119" i="62"/>
  <c r="V120" i="62"/>
  <c r="V121" i="62"/>
  <c r="V122" i="62"/>
  <c r="V123" i="62"/>
  <c r="V124" i="62"/>
  <c r="V125" i="62"/>
  <c r="V126" i="62"/>
  <c r="V127" i="62"/>
  <c r="V128" i="62"/>
  <c r="V137" i="62"/>
  <c r="V138" i="62"/>
  <c r="V139" i="62"/>
  <c r="V140" i="62"/>
  <c r="V141" i="62"/>
  <c r="V142" i="62"/>
  <c r="V143" i="62"/>
  <c r="V144" i="62"/>
  <c r="V145" i="62"/>
  <c r="V146" i="62"/>
  <c r="V155" i="62"/>
  <c r="V156" i="62"/>
  <c r="V157" i="62"/>
  <c r="V158" i="62"/>
  <c r="V159" i="62"/>
  <c r="V160" i="62"/>
  <c r="V169" i="62"/>
  <c r="V170" i="62"/>
  <c r="V171" i="62"/>
  <c r="V172" i="62"/>
  <c r="V181" i="62"/>
  <c r="V182" i="62"/>
  <c r="V183" i="62"/>
  <c r="V184" i="62"/>
  <c r="V185" i="62"/>
  <c r="V186" i="62"/>
  <c r="V187" i="62"/>
  <c r="V188" i="62"/>
  <c r="V189" i="62"/>
  <c r="V190" i="62"/>
  <c r="V199" i="62"/>
  <c r="V215" i="62"/>
  <c r="V216" i="62"/>
  <c r="V217" i="62"/>
  <c r="V218" i="62"/>
  <c r="V219" i="62"/>
  <c r="V220" i="62"/>
  <c r="V221" i="62"/>
  <c r="V222" i="62"/>
  <c r="V223" i="62"/>
  <c r="V224" i="62"/>
  <c r="V237" i="62"/>
  <c r="V238" i="62"/>
  <c r="V239" i="62"/>
  <c r="V240" i="62"/>
  <c r="V241" i="62"/>
  <c r="V242" i="62"/>
  <c r="V243" i="62"/>
  <c r="V244" i="62"/>
  <c r="V245" i="62"/>
  <c r="V246" i="62"/>
  <c r="V255" i="62"/>
  <c r="V256" i="62"/>
  <c r="V257" i="62"/>
  <c r="V258" i="62"/>
  <c r="P5" i="62"/>
  <c r="D1" i="62" s="1"/>
  <c r="L226" i="62" s="1"/>
  <c r="D284" i="62"/>
  <c r="C284" i="62" s="1"/>
  <c r="D283" i="62"/>
  <c r="C283" i="62" s="1"/>
  <c r="D282" i="62"/>
  <c r="C282" i="62" s="1"/>
  <c r="D281" i="62"/>
  <c r="C281" i="62" s="1"/>
  <c r="D280" i="62"/>
  <c r="C280" i="62" s="1"/>
  <c r="D279" i="62"/>
  <c r="C279" i="62" s="1"/>
  <c r="D278" i="62"/>
  <c r="C278" i="62" s="1"/>
  <c r="D277" i="62"/>
  <c r="C277" i="62" s="1"/>
  <c r="D276" i="62"/>
  <c r="C276" i="62" s="1"/>
  <c r="D275" i="62"/>
  <c r="C275" i="62" s="1"/>
  <c r="D274" i="62"/>
  <c r="C274" i="62" s="1"/>
  <c r="D273" i="62"/>
  <c r="C273" i="62" s="1"/>
  <c r="D272" i="62"/>
  <c r="C272" i="62" s="1"/>
  <c r="D271" i="62"/>
  <c r="C271" i="62" s="1"/>
  <c r="D270" i="62"/>
  <c r="C270" i="62" s="1"/>
  <c r="D269" i="62"/>
  <c r="C269" i="62" s="1"/>
  <c r="D268" i="62"/>
  <c r="C268" i="62" s="1"/>
  <c r="D267" i="62"/>
  <c r="C267" i="62" s="1"/>
  <c r="D266" i="62"/>
  <c r="C266" i="62" s="1"/>
  <c r="D265" i="62"/>
  <c r="C265" i="62" s="1"/>
  <c r="D264" i="62"/>
  <c r="C264" i="62" s="1"/>
  <c r="D263" i="62"/>
  <c r="C263" i="62" s="1"/>
  <c r="D262" i="62"/>
  <c r="C262" i="62" s="1"/>
  <c r="D263" i="63"/>
  <c r="C263" i="63" s="1"/>
  <c r="D264" i="63"/>
  <c r="C264" i="63" s="1"/>
  <c r="D265" i="63"/>
  <c r="C265" i="63" s="1"/>
  <c r="D266" i="63"/>
  <c r="C266" i="63" s="1"/>
  <c r="D267" i="63"/>
  <c r="C267" i="63" s="1"/>
  <c r="D268" i="63"/>
  <c r="C268" i="63" s="1"/>
  <c r="D269" i="63"/>
  <c r="C269" i="63" s="1"/>
  <c r="D270" i="63"/>
  <c r="C270" i="63" s="1"/>
  <c r="D271" i="63"/>
  <c r="C271" i="63" s="1"/>
  <c r="D272" i="63"/>
  <c r="C272" i="63" s="1"/>
  <c r="D273" i="63"/>
  <c r="C273" i="63" s="1"/>
  <c r="D274" i="63"/>
  <c r="C274" i="63" s="1"/>
  <c r="D275" i="63"/>
  <c r="C275" i="63" s="1"/>
  <c r="D276" i="63"/>
  <c r="C276" i="63" s="1"/>
  <c r="D277" i="63"/>
  <c r="C277" i="63" s="1"/>
  <c r="D278" i="63"/>
  <c r="C278" i="63" s="1"/>
  <c r="D279" i="63"/>
  <c r="C279" i="63" s="1"/>
  <c r="D280" i="63"/>
  <c r="C280" i="63" s="1"/>
  <c r="D281" i="63"/>
  <c r="C281" i="63" s="1"/>
  <c r="D282" i="63"/>
  <c r="C282" i="63" s="1"/>
  <c r="D283" i="63"/>
  <c r="C283" i="63" s="1"/>
  <c r="D284" i="63"/>
  <c r="C284" i="63" s="1"/>
  <c r="D285" i="63"/>
  <c r="C285" i="63" s="1"/>
  <c r="D262" i="63"/>
  <c r="C262" i="63" s="1"/>
  <c r="C3" i="56"/>
  <c r="B3" i="56"/>
  <c r="C5" i="56"/>
  <c r="C7" i="56"/>
  <c r="AE34" i="26"/>
  <c r="AA34" i="26"/>
  <c r="W34" i="26"/>
  <c r="S34" i="26"/>
  <c r="O34" i="26"/>
  <c r="K34" i="26"/>
  <c r="G34" i="26"/>
  <c r="C34" i="26"/>
  <c r="G7" i="29"/>
  <c r="G5" i="29"/>
  <c r="G3" i="29"/>
  <c r="T2" i="29" s="1"/>
  <c r="O10" i="29" s="1"/>
  <c r="O18" i="29"/>
  <c r="O20" i="29"/>
  <c r="O22" i="29"/>
  <c r="O24" i="29"/>
  <c r="O26" i="29"/>
  <c r="O28" i="29"/>
  <c r="O30" i="29"/>
  <c r="O32" i="29"/>
  <c r="O38" i="29"/>
  <c r="O40" i="29"/>
  <c r="O42" i="29"/>
  <c r="O44" i="29"/>
  <c r="O46" i="29"/>
  <c r="O48" i="29"/>
  <c r="O50" i="29"/>
  <c r="O52" i="29"/>
  <c r="O54" i="29"/>
  <c r="O56" i="29"/>
  <c r="I9" i="42"/>
  <c r="Q51" i="21" s="1"/>
  <c r="A51" i="21"/>
  <c r="I9" i="43"/>
  <c r="Q53" i="21" s="1"/>
  <c r="A53" i="21"/>
  <c r="I9" i="44"/>
  <c r="Q55" i="21" s="1"/>
  <c r="A55" i="21"/>
  <c r="I9" i="45"/>
  <c r="Q57" i="21" s="1"/>
  <c r="Y6" i="21" s="1"/>
  <c r="K6" i="67" s="1"/>
  <c r="I9" i="46"/>
  <c r="Q59" i="21" s="1"/>
  <c r="Y7" i="21" s="1"/>
  <c r="O7" i="29" s="1"/>
  <c r="I9" i="47"/>
  <c r="Q61" i="21" s="1"/>
  <c r="Y8" i="21" s="1"/>
  <c r="K8" i="67" s="1"/>
  <c r="F62" i="66"/>
  <c r="F60" i="66"/>
  <c r="F56" i="66"/>
  <c r="F54" i="66"/>
  <c r="F50" i="66"/>
  <c r="F40" i="66"/>
  <c r="F48" i="66"/>
  <c r="F46" i="66"/>
  <c r="F44" i="66"/>
  <c r="F38" i="66"/>
  <c r="F36" i="66" s="1"/>
  <c r="G36" i="66" s="1"/>
  <c r="F34" i="66"/>
  <c r="F32" i="66"/>
  <c r="F30" i="66"/>
  <c r="F28" i="66"/>
  <c r="F26" i="66"/>
  <c r="F22" i="66"/>
  <c r="F20" i="66"/>
  <c r="F18" i="66"/>
  <c r="F16" i="66"/>
  <c r="F14" i="66"/>
  <c r="C7" i="66"/>
  <c r="C5" i="66"/>
  <c r="C3" i="66"/>
  <c r="A3" i="66"/>
  <c r="J3" i="21"/>
  <c r="G1" i="66" s="1"/>
  <c r="K42" i="67"/>
  <c r="L42" i="67" s="1"/>
  <c r="K40" i="67"/>
  <c r="L40" i="67" s="1"/>
  <c r="K38" i="67"/>
  <c r="L38" i="67" s="1"/>
  <c r="K36" i="67"/>
  <c r="L36" i="67" s="1"/>
  <c r="K34" i="67"/>
  <c r="L34" i="67" s="1"/>
  <c r="K32" i="67"/>
  <c r="L32" i="67" s="1"/>
  <c r="K30" i="67"/>
  <c r="L30" i="67" s="1"/>
  <c r="K28" i="67"/>
  <c r="L28" i="67" s="1"/>
  <c r="K26" i="67"/>
  <c r="L26" i="67" s="1"/>
  <c r="K24" i="67"/>
  <c r="L24" i="67" s="1"/>
  <c r="K22" i="67"/>
  <c r="L22" i="67" s="1"/>
  <c r="K20" i="67"/>
  <c r="L20" i="67" s="1"/>
  <c r="K18" i="67"/>
  <c r="L18" i="67" s="1"/>
  <c r="K16" i="67"/>
  <c r="L16" i="67" s="1"/>
  <c r="K14" i="67"/>
  <c r="L14" i="67" s="1"/>
  <c r="K12" i="67"/>
  <c r="L12" i="67" s="1"/>
  <c r="I5" i="67"/>
  <c r="I63" i="40"/>
  <c r="D63" i="40" s="1"/>
  <c r="I62" i="40"/>
  <c r="I61" i="40"/>
  <c r="D61" i="40" s="1"/>
  <c r="I60" i="40"/>
  <c r="I59" i="40"/>
  <c r="D59" i="40" s="1"/>
  <c r="I58" i="40"/>
  <c r="I57" i="40"/>
  <c r="D57" i="40" s="1"/>
  <c r="I56" i="40"/>
  <c r="I55" i="40"/>
  <c r="D55" i="40" s="1"/>
  <c r="I54" i="40"/>
  <c r="I53" i="40"/>
  <c r="H55" i="40"/>
  <c r="H57" i="40"/>
  <c r="H59" i="40"/>
  <c r="H61" i="40"/>
  <c r="I52" i="40"/>
  <c r="I51" i="40"/>
  <c r="D51" i="40" s="1"/>
  <c r="I50" i="40"/>
  <c r="I49" i="40"/>
  <c r="I48" i="40"/>
  <c r="I47" i="40"/>
  <c r="D47" i="40" s="1"/>
  <c r="I46" i="40"/>
  <c r="I45" i="40"/>
  <c r="D45" i="40" s="1"/>
  <c r="I44" i="40"/>
  <c r="I43" i="40"/>
  <c r="D43" i="40" s="1"/>
  <c r="I42" i="40"/>
  <c r="I41" i="40"/>
  <c r="A41" i="40" s="1"/>
  <c r="I40" i="40"/>
  <c r="I39" i="40"/>
  <c r="D39" i="40" s="1"/>
  <c r="I38" i="40"/>
  <c r="I37" i="40"/>
  <c r="I36" i="40"/>
  <c r="I35" i="40"/>
  <c r="D35" i="40" s="1"/>
  <c r="I33" i="40"/>
  <c r="A33" i="40" s="1"/>
  <c r="I34" i="40"/>
  <c r="I64" i="40"/>
  <c r="C10" i="40" s="1"/>
  <c r="T35" i="21"/>
  <c r="T37" i="21"/>
  <c r="X37" i="21"/>
  <c r="A3" i="67"/>
  <c r="F12" i="40"/>
  <c r="U25" i="27"/>
  <c r="B25" i="27" s="1"/>
  <c r="B51" i="27" s="1"/>
  <c r="U23" i="27"/>
  <c r="B23" i="27" s="1"/>
  <c r="B49" i="27" s="1"/>
  <c r="U21" i="27"/>
  <c r="B21" i="27" s="1"/>
  <c r="B47" i="27" s="1"/>
  <c r="U19" i="27"/>
  <c r="B19" i="27" s="1"/>
  <c r="B45" i="27" s="1"/>
  <c r="U17" i="27"/>
  <c r="B17" i="27" s="1"/>
  <c r="B43" i="27" s="1"/>
  <c r="U15" i="27"/>
  <c r="B15" i="27" s="1"/>
  <c r="B41" i="27" s="1"/>
  <c r="A3" i="29"/>
  <c r="T3" i="29"/>
  <c r="G72" i="21"/>
  <c r="V72" i="21" s="1"/>
  <c r="W72" i="21" s="1"/>
  <c r="K72" i="21"/>
  <c r="K70" i="21"/>
  <c r="G70" i="21"/>
  <c r="V70" i="21" s="1"/>
  <c r="W70" i="21" s="1"/>
  <c r="E72" i="21"/>
  <c r="E70" i="21"/>
  <c r="A70" i="21"/>
  <c r="A72" i="21"/>
  <c r="R11" i="25"/>
  <c r="P11" i="25"/>
  <c r="N11" i="25"/>
  <c r="L11" i="25"/>
  <c r="J11" i="25"/>
  <c r="H11" i="25"/>
  <c r="F11" i="25"/>
  <c r="B39" i="25"/>
  <c r="B38" i="25"/>
  <c r="B37" i="25"/>
  <c r="B35" i="25"/>
  <c r="B34" i="25"/>
  <c r="B33" i="25"/>
  <c r="B31" i="25"/>
  <c r="B30" i="25"/>
  <c r="B29" i="25"/>
  <c r="B28" i="25"/>
  <c r="B27" i="25"/>
  <c r="B26" i="25"/>
  <c r="B25" i="25"/>
  <c r="B22" i="25"/>
  <c r="B24" i="25"/>
  <c r="B21" i="25"/>
  <c r="B20" i="25"/>
  <c r="B19" i="25"/>
  <c r="B17" i="25"/>
  <c r="B15" i="25"/>
  <c r="B14" i="25"/>
  <c r="L10" i="63"/>
  <c r="Q10" i="63" s="1"/>
  <c r="P5" i="55"/>
  <c r="D1" i="55" s="1"/>
  <c r="L226" i="55" s="1"/>
  <c r="V258" i="55"/>
  <c r="L258" i="55"/>
  <c r="R258" i="55" s="1"/>
  <c r="V257" i="55"/>
  <c r="L257" i="55"/>
  <c r="V256" i="55"/>
  <c r="L256" i="55"/>
  <c r="T256" i="55" s="1"/>
  <c r="V255" i="55"/>
  <c r="L255" i="55"/>
  <c r="V246" i="55"/>
  <c r="V245" i="55"/>
  <c r="V244" i="55"/>
  <c r="V243" i="55"/>
  <c r="V242" i="55"/>
  <c r="V241" i="55"/>
  <c r="V240" i="55"/>
  <c r="V239" i="55"/>
  <c r="V238" i="55"/>
  <c r="V237" i="55"/>
  <c r="R227" i="55"/>
  <c r="R226" i="55"/>
  <c r="V224" i="55"/>
  <c r="V223" i="55"/>
  <c r="V222" i="55"/>
  <c r="V221" i="55"/>
  <c r="V220" i="55"/>
  <c r="V219" i="55"/>
  <c r="V218" i="55"/>
  <c r="V217" i="55"/>
  <c r="V216" i="55"/>
  <c r="V215" i="55"/>
  <c r="V199" i="55"/>
  <c r="V190" i="55"/>
  <c r="V189" i="55"/>
  <c r="V188" i="55"/>
  <c r="V187" i="55"/>
  <c r="V186" i="55"/>
  <c r="V185" i="55"/>
  <c r="V184" i="55"/>
  <c r="V183" i="55"/>
  <c r="V182" i="55"/>
  <c r="V181" i="55"/>
  <c r="V172" i="55"/>
  <c r="V171" i="55"/>
  <c r="V170" i="55"/>
  <c r="V169" i="55"/>
  <c r="V160" i="55"/>
  <c r="L160" i="55"/>
  <c r="R160" i="55" s="1"/>
  <c r="V159" i="55"/>
  <c r="L159" i="55"/>
  <c r="S159" i="55" s="1"/>
  <c r="V158" i="55"/>
  <c r="L158" i="55"/>
  <c r="R158" i="55" s="1"/>
  <c r="V157" i="55"/>
  <c r="L157" i="55"/>
  <c r="S157" i="55" s="1"/>
  <c r="V156" i="55"/>
  <c r="L156" i="55"/>
  <c r="R156" i="55" s="1"/>
  <c r="V155" i="55"/>
  <c r="L155" i="55"/>
  <c r="T155" i="55" s="1"/>
  <c r="V146" i="55"/>
  <c r="V145" i="55"/>
  <c r="V144" i="55"/>
  <c r="V143" i="55"/>
  <c r="V142" i="55"/>
  <c r="V141" i="55"/>
  <c r="V140" i="55"/>
  <c r="V139" i="55"/>
  <c r="V138" i="55"/>
  <c r="V137" i="55"/>
  <c r="V128" i="55"/>
  <c r="V127" i="55"/>
  <c r="V126" i="55"/>
  <c r="V125" i="55"/>
  <c r="V124" i="55"/>
  <c r="V123" i="55"/>
  <c r="V122" i="55"/>
  <c r="V121" i="55"/>
  <c r="V120" i="55"/>
  <c r="V119" i="55"/>
  <c r="V110" i="55"/>
  <c r="V109" i="55"/>
  <c r="V108" i="55"/>
  <c r="V96" i="55"/>
  <c r="V95" i="55"/>
  <c r="V94" i="55"/>
  <c r="V93" i="55"/>
  <c r="V92" i="55"/>
  <c r="V91" i="55"/>
  <c r="V90" i="55"/>
  <c r="V89" i="55"/>
  <c r="V88" i="55"/>
  <c r="V87" i="55"/>
  <c r="V78" i="55"/>
  <c r="L78" i="55"/>
  <c r="R78" i="55" s="1"/>
  <c r="V77" i="55"/>
  <c r="L77" i="55"/>
  <c r="T77" i="55" s="1"/>
  <c r="V76" i="55"/>
  <c r="L76" i="55"/>
  <c r="R76" i="55" s="1"/>
  <c r="V75" i="55"/>
  <c r="L75" i="55"/>
  <c r="T75" i="55" s="1"/>
  <c r="V74" i="55"/>
  <c r="L74" i="55"/>
  <c r="R74" i="55" s="1"/>
  <c r="V73" i="55"/>
  <c r="L73" i="55"/>
  <c r="T73" i="55" s="1"/>
  <c r="V72" i="55"/>
  <c r="L72" i="55"/>
  <c r="R72" i="55" s="1"/>
  <c r="V71" i="55"/>
  <c r="L71" i="55"/>
  <c r="V70" i="55"/>
  <c r="L70" i="55"/>
  <c r="R70" i="55" s="1"/>
  <c r="V69" i="55"/>
  <c r="L69" i="55"/>
  <c r="T69" i="55" s="1"/>
  <c r="V60" i="55"/>
  <c r="L60" i="55"/>
  <c r="V59" i="55"/>
  <c r="L59" i="55"/>
  <c r="T59" i="55" s="1"/>
  <c r="V58" i="55"/>
  <c r="L58" i="55"/>
  <c r="T58" i="55" s="1"/>
  <c r="V57" i="55"/>
  <c r="L57" i="55"/>
  <c r="R57" i="55" s="1"/>
  <c r="V56" i="55"/>
  <c r="L56" i="55"/>
  <c r="V55" i="55"/>
  <c r="L55" i="55"/>
  <c r="T55" i="55" s="1"/>
  <c r="V54" i="55"/>
  <c r="L54" i="55"/>
  <c r="T54" i="55" s="1"/>
  <c r="V53" i="55"/>
  <c r="L53" i="55"/>
  <c r="R53" i="55" s="1"/>
  <c r="V52" i="55"/>
  <c r="L52" i="55"/>
  <c r="V51" i="55"/>
  <c r="L51" i="55"/>
  <c r="R51" i="55" s="1"/>
  <c r="V37" i="55"/>
  <c r="V36" i="55"/>
  <c r="T36" i="55"/>
  <c r="S36" i="55"/>
  <c r="V35" i="55"/>
  <c r="T35" i="55"/>
  <c r="V34" i="55"/>
  <c r="T34" i="55"/>
  <c r="S34" i="55"/>
  <c r="V33" i="55"/>
  <c r="V32" i="55"/>
  <c r="T32" i="55"/>
  <c r="S32" i="55"/>
  <c r="V31" i="55"/>
  <c r="T31" i="55"/>
  <c r="V30" i="55"/>
  <c r="T30" i="55"/>
  <c r="S30" i="55"/>
  <c r="V29" i="55"/>
  <c r="V28" i="55"/>
  <c r="T28" i="55"/>
  <c r="S28" i="55"/>
  <c r="V27" i="55"/>
  <c r="T27" i="55"/>
  <c r="V26" i="55"/>
  <c r="T26" i="55"/>
  <c r="S26" i="55"/>
  <c r="V25" i="55"/>
  <c r="V24" i="55"/>
  <c r="T24" i="55"/>
  <c r="V23" i="55"/>
  <c r="L271" i="55" s="1"/>
  <c r="D3" i="55"/>
  <c r="T257" i="58"/>
  <c r="R227" i="58"/>
  <c r="R206" i="58" s="1"/>
  <c r="R226" i="58"/>
  <c r="D3" i="58"/>
  <c r="R227" i="64"/>
  <c r="R226" i="64"/>
  <c r="N10" i="64"/>
  <c r="Q10" i="64" s="1"/>
  <c r="D3" i="64"/>
  <c r="R227" i="59"/>
  <c r="Q228" i="59" s="1"/>
  <c r="R226" i="59"/>
  <c r="N10" i="59"/>
  <c r="Q10" i="59" s="1"/>
  <c r="D3" i="59"/>
  <c r="R227" i="60"/>
  <c r="R226" i="60"/>
  <c r="D3" i="60"/>
  <c r="R227" i="61"/>
  <c r="Q228" i="61" s="1"/>
  <c r="R226" i="61"/>
  <c r="D3" i="61"/>
  <c r="R227" i="62"/>
  <c r="R226" i="62"/>
  <c r="D3" i="62"/>
  <c r="P5" i="63"/>
  <c r="AE9" i="26"/>
  <c r="AG58" i="26" s="1"/>
  <c r="C9" i="26"/>
  <c r="E58" i="26" s="1"/>
  <c r="G97" i="23"/>
  <c r="G95" i="23"/>
  <c r="G93" i="23"/>
  <c r="G89" i="23"/>
  <c r="G84" i="23"/>
  <c r="G82" i="23"/>
  <c r="G80" i="23"/>
  <c r="G78" i="23"/>
  <c r="A64" i="65"/>
  <c r="E64" i="65"/>
  <c r="P37" i="21"/>
  <c r="S39" i="21"/>
  <c r="R39" i="21" s="1"/>
  <c r="P35" i="21"/>
  <c r="R227" i="63"/>
  <c r="Q206" i="63" s="1"/>
  <c r="L237" i="63"/>
  <c r="S237" i="63" s="1"/>
  <c r="H35" i="40"/>
  <c r="H37" i="40"/>
  <c r="H39" i="40"/>
  <c r="H33" i="40"/>
  <c r="H41" i="40"/>
  <c r="H43" i="40"/>
  <c r="H45" i="40"/>
  <c r="H47" i="40"/>
  <c r="H49" i="40"/>
  <c r="H51" i="40"/>
  <c r="AE43" i="26"/>
  <c r="A46" i="26"/>
  <c r="AA43" i="26"/>
  <c r="W43" i="26"/>
  <c r="H29" i="45"/>
  <c r="H36" i="45" s="1"/>
  <c r="S43" i="26"/>
  <c r="H29" i="44"/>
  <c r="H31" i="44" s="1"/>
  <c r="O43" i="26"/>
  <c r="K43" i="26"/>
  <c r="H29" i="43"/>
  <c r="H31" i="43" s="1"/>
  <c r="H29" i="42"/>
  <c r="H37" i="42" s="1"/>
  <c r="G43" i="26"/>
  <c r="C43" i="26"/>
  <c r="H29" i="22"/>
  <c r="H31" i="22" s="1"/>
  <c r="T12" i="21"/>
  <c r="U12" i="21"/>
  <c r="T9" i="27"/>
  <c r="S9" i="27"/>
  <c r="V258" i="63"/>
  <c r="V257" i="63"/>
  <c r="V256" i="63"/>
  <c r="V255" i="63"/>
  <c r="V246" i="63"/>
  <c r="V245" i="63"/>
  <c r="V244" i="63"/>
  <c r="V243" i="63"/>
  <c r="V242" i="63"/>
  <c r="V241" i="63"/>
  <c r="V240" i="63"/>
  <c r="V239" i="63"/>
  <c r="V238" i="63"/>
  <c r="V237" i="63"/>
  <c r="V224" i="63"/>
  <c r="V223" i="63"/>
  <c r="V222" i="63"/>
  <c r="V221" i="63"/>
  <c r="V220" i="63"/>
  <c r="V219" i="63"/>
  <c r="V218" i="63"/>
  <c r="V217" i="63"/>
  <c r="V216" i="63"/>
  <c r="V215" i="63"/>
  <c r="V199" i="63"/>
  <c r="V190" i="63"/>
  <c r="V189" i="63"/>
  <c r="V188" i="63"/>
  <c r="V187" i="63"/>
  <c r="V186" i="63"/>
  <c r="V185" i="63"/>
  <c r="V184" i="63"/>
  <c r="V183" i="63"/>
  <c r="V182" i="63"/>
  <c r="V181" i="63"/>
  <c r="V172" i="63"/>
  <c r="V171" i="63"/>
  <c r="V170" i="63"/>
  <c r="V169" i="63"/>
  <c r="V160" i="63"/>
  <c r="V159" i="63"/>
  <c r="V158" i="63"/>
  <c r="V157" i="63"/>
  <c r="V156" i="63"/>
  <c r="V155" i="63"/>
  <c r="V146" i="63"/>
  <c r="V145" i="63"/>
  <c r="V144" i="63"/>
  <c r="V143" i="63"/>
  <c r="V142" i="63"/>
  <c r="V141" i="63"/>
  <c r="V140" i="63"/>
  <c r="V139" i="63"/>
  <c r="V138" i="63"/>
  <c r="V137" i="63"/>
  <c r="V128" i="63"/>
  <c r="V127" i="63"/>
  <c r="V126" i="63"/>
  <c r="V125" i="63"/>
  <c r="V124" i="63"/>
  <c r="V123" i="63"/>
  <c r="V122" i="63"/>
  <c r="V121" i="63"/>
  <c r="V120" i="63"/>
  <c r="V119" i="63"/>
  <c r="V110" i="63"/>
  <c r="V109" i="63"/>
  <c r="V108" i="63"/>
  <c r="V96" i="63"/>
  <c r="V95" i="63"/>
  <c r="V94" i="63"/>
  <c r="V93" i="63"/>
  <c r="V92" i="63"/>
  <c r="V91" i="63"/>
  <c r="V90" i="63"/>
  <c r="V89" i="63"/>
  <c r="V88" i="63"/>
  <c r="V87" i="63"/>
  <c r="V78" i="63"/>
  <c r="V77" i="63"/>
  <c r="V76" i="63"/>
  <c r="V75" i="63"/>
  <c r="V74" i="63"/>
  <c r="V73" i="63"/>
  <c r="V72" i="63"/>
  <c r="V71" i="63"/>
  <c r="V70" i="63"/>
  <c r="V69" i="63"/>
  <c r="V60" i="63"/>
  <c r="V59" i="63"/>
  <c r="V58" i="63"/>
  <c r="V57" i="63"/>
  <c r="V56" i="63"/>
  <c r="V55" i="63"/>
  <c r="V54" i="63"/>
  <c r="V53" i="63"/>
  <c r="V52" i="63"/>
  <c r="V51" i="63"/>
  <c r="V37" i="63"/>
  <c r="V36" i="63"/>
  <c r="V35" i="63"/>
  <c r="V34" i="63"/>
  <c r="V33" i="63"/>
  <c r="V32" i="63"/>
  <c r="V31" i="63"/>
  <c r="V30" i="63"/>
  <c r="V29" i="63"/>
  <c r="V28" i="63"/>
  <c r="V27" i="63"/>
  <c r="V26" i="63"/>
  <c r="V25" i="63"/>
  <c r="V24" i="63"/>
  <c r="V23" i="63"/>
  <c r="H29" i="48"/>
  <c r="H32" i="48" s="1"/>
  <c r="H29" i="47"/>
  <c r="H36" i="47" s="1"/>
  <c r="H29" i="46"/>
  <c r="H34" i="46" s="1"/>
  <c r="L246" i="63"/>
  <c r="R246" i="63" s="1"/>
  <c r="L245" i="63"/>
  <c r="L244" i="63"/>
  <c r="R244" i="63" s="1"/>
  <c r="L243" i="63"/>
  <c r="L242" i="63"/>
  <c r="R242" i="63" s="1"/>
  <c r="L241" i="63"/>
  <c r="L240" i="63"/>
  <c r="R240" i="63" s="1"/>
  <c r="L239" i="63"/>
  <c r="L238" i="63"/>
  <c r="L224" i="63"/>
  <c r="R224" i="63" s="1"/>
  <c r="L223" i="63"/>
  <c r="R223" i="63" s="1"/>
  <c r="L222" i="63"/>
  <c r="S222" i="63" s="1"/>
  <c r="L221" i="63"/>
  <c r="R221" i="63" s="1"/>
  <c r="L220" i="63"/>
  <c r="L219" i="63"/>
  <c r="R219" i="63" s="1"/>
  <c r="L218" i="63"/>
  <c r="S218" i="63" s="1"/>
  <c r="L217" i="63"/>
  <c r="R217" i="63" s="1"/>
  <c r="L216" i="63"/>
  <c r="R216" i="63" s="1"/>
  <c r="L215" i="63"/>
  <c r="R215" i="63" s="1"/>
  <c r="L203" i="63"/>
  <c r="S203" i="63" s="1"/>
  <c r="L202" i="63"/>
  <c r="L199" i="63"/>
  <c r="S199" i="63" s="1"/>
  <c r="L160" i="63"/>
  <c r="T160" i="63" s="1"/>
  <c r="L159" i="63"/>
  <c r="S159" i="63" s="1"/>
  <c r="L158" i="63"/>
  <c r="L157" i="63"/>
  <c r="S157" i="63" s="1"/>
  <c r="L156" i="63"/>
  <c r="R156" i="63" s="1"/>
  <c r="L155" i="63"/>
  <c r="R155" i="63" s="1"/>
  <c r="L110" i="63"/>
  <c r="L109" i="63"/>
  <c r="S109" i="63" s="1"/>
  <c r="L108" i="63"/>
  <c r="S108" i="63" s="1"/>
  <c r="L60" i="63"/>
  <c r="S60" i="63" s="1"/>
  <c r="L59" i="63"/>
  <c r="T59" i="63" s="1"/>
  <c r="L58" i="63"/>
  <c r="R58" i="63" s="1"/>
  <c r="L57" i="63"/>
  <c r="T57" i="63" s="1"/>
  <c r="L56" i="63"/>
  <c r="S56" i="63" s="1"/>
  <c r="L55" i="63"/>
  <c r="T55" i="63" s="1"/>
  <c r="L54" i="63"/>
  <c r="S54" i="63" s="1"/>
  <c r="L53" i="63"/>
  <c r="L52" i="63"/>
  <c r="S52" i="63" s="1"/>
  <c r="L51" i="63"/>
  <c r="S51" i="63" s="1"/>
  <c r="T37" i="63"/>
  <c r="R33" i="63"/>
  <c r="T29" i="63"/>
  <c r="R27" i="63"/>
  <c r="R25" i="63"/>
  <c r="R29" i="63"/>
  <c r="R31" i="63"/>
  <c r="R35" i="63"/>
  <c r="R37" i="63"/>
  <c r="U27" i="27"/>
  <c r="B27" i="27" s="1"/>
  <c r="B53" i="27" s="1"/>
  <c r="U13" i="27"/>
  <c r="B13" i="27" s="1"/>
  <c r="B39" i="27" s="1"/>
  <c r="S7" i="27"/>
  <c r="H60" i="22"/>
  <c r="H63" i="22" s="1"/>
  <c r="H60" i="42"/>
  <c r="H68" i="42" s="1"/>
  <c r="P25" i="27"/>
  <c r="P23" i="27"/>
  <c r="P21" i="27"/>
  <c r="P19" i="27"/>
  <c r="P17" i="27"/>
  <c r="P27" i="27"/>
  <c r="P15" i="27"/>
  <c r="P13" i="27"/>
  <c r="D3" i="63"/>
  <c r="S156" i="63"/>
  <c r="T156" i="63"/>
  <c r="T203" i="63"/>
  <c r="R222" i="63"/>
  <c r="T222" i="63"/>
  <c r="S246" i="63"/>
  <c r="B3" i="27"/>
  <c r="A3" i="26"/>
  <c r="B3" i="25"/>
  <c r="A3" i="40"/>
  <c r="H63" i="40"/>
  <c r="H53" i="40"/>
  <c r="B5" i="31"/>
  <c r="I9" i="48"/>
  <c r="Q63" i="21" s="1"/>
  <c r="Y9" i="21" s="1"/>
  <c r="V93" i="21"/>
  <c r="W93" i="21" s="1"/>
  <c r="E93" i="21" s="1"/>
  <c r="V91" i="21"/>
  <c r="W91" i="21" s="1"/>
  <c r="E91" i="21" s="1"/>
  <c r="V89" i="21"/>
  <c r="W89" i="21" s="1"/>
  <c r="V87" i="21"/>
  <c r="W87" i="21" s="1"/>
  <c r="E87" i="21" s="1"/>
  <c r="V85" i="21"/>
  <c r="W85" i="21" s="1"/>
  <c r="V83" i="21"/>
  <c r="V81" i="21"/>
  <c r="W81" i="21" s="1"/>
  <c r="H45" i="48"/>
  <c r="H48" i="48" s="1"/>
  <c r="I57" i="48"/>
  <c r="I57" i="47"/>
  <c r="I57" i="46"/>
  <c r="I57" i="45"/>
  <c r="H45" i="44"/>
  <c r="H48" i="44" s="1"/>
  <c r="H50" i="44"/>
  <c r="H52" i="44"/>
  <c r="H54" i="44"/>
  <c r="H45" i="43"/>
  <c r="H47" i="43" s="1"/>
  <c r="H45" i="42"/>
  <c r="H48" i="42" s="1"/>
  <c r="H45" i="22"/>
  <c r="H47" i="22" s="1"/>
  <c r="H29" i="27"/>
  <c r="D29" i="27"/>
  <c r="F29" i="27"/>
  <c r="J29" i="27"/>
  <c r="L29" i="27"/>
  <c r="N29" i="27"/>
  <c r="W83" i="21"/>
  <c r="C46" i="26"/>
  <c r="G73" i="48"/>
  <c r="H60" i="48"/>
  <c r="H67" i="48" s="1"/>
  <c r="I72" i="48"/>
  <c r="I70" i="48"/>
  <c r="I63" i="48"/>
  <c r="G73" i="47"/>
  <c r="I72" i="47"/>
  <c r="I70" i="47"/>
  <c r="H60" i="47"/>
  <c r="H63" i="47" s="1"/>
  <c r="I63" i="47"/>
  <c r="G73" i="46"/>
  <c r="I72" i="46"/>
  <c r="I70" i="46"/>
  <c r="H60" i="46"/>
  <c r="H65" i="46" s="1"/>
  <c r="I63" i="46"/>
  <c r="G73" i="45"/>
  <c r="I72" i="45"/>
  <c r="I70" i="45"/>
  <c r="H60" i="45"/>
  <c r="H63" i="45" s="1"/>
  <c r="I63" i="45"/>
  <c r="G73" i="44"/>
  <c r="I72" i="44"/>
  <c r="I70" i="44"/>
  <c r="H60" i="44"/>
  <c r="H65" i="44" s="1"/>
  <c r="I63" i="44"/>
  <c r="G73" i="43"/>
  <c r="I72" i="43"/>
  <c r="I70" i="43"/>
  <c r="H60" i="43"/>
  <c r="H66" i="43" s="1"/>
  <c r="I63" i="43"/>
  <c r="G73" i="42"/>
  <c r="I70" i="42"/>
  <c r="I63" i="42"/>
  <c r="R10" i="21"/>
  <c r="T10" i="21" s="1"/>
  <c r="M10" i="21" s="1"/>
  <c r="V79" i="21"/>
  <c r="W79" i="21" s="1"/>
  <c r="A57" i="21"/>
  <c r="A61" i="21"/>
  <c r="A63" i="21"/>
  <c r="A48" i="21"/>
  <c r="A66" i="21"/>
  <c r="I5" i="47"/>
  <c r="I7" i="47"/>
  <c r="K13" i="47"/>
  <c r="I15" i="47"/>
  <c r="I17" i="47"/>
  <c r="I19" i="47"/>
  <c r="I21" i="47"/>
  <c r="I23" i="47"/>
  <c r="I25" i="47"/>
  <c r="I27" i="47"/>
  <c r="I32" i="47"/>
  <c r="I39" i="47"/>
  <c r="G42" i="47"/>
  <c r="I43" i="47"/>
  <c r="H45" i="47"/>
  <c r="I48" i="47"/>
  <c r="I55" i="47"/>
  <c r="G58" i="47"/>
  <c r="I77" i="47"/>
  <c r="I81" i="47"/>
  <c r="I83" i="47"/>
  <c r="I87" i="47"/>
  <c r="I91" i="47"/>
  <c r="I93" i="47"/>
  <c r="I98" i="47"/>
  <c r="H100" i="47"/>
  <c r="F102" i="47" s="1"/>
  <c r="I100" i="47"/>
  <c r="J100" i="47"/>
  <c r="I102" i="47"/>
  <c r="I104" i="47"/>
  <c r="I106" i="47"/>
  <c r="I108" i="47"/>
  <c r="I108" i="48"/>
  <c r="I106" i="48"/>
  <c r="I104" i="48"/>
  <c r="I102" i="48"/>
  <c r="J100" i="48"/>
  <c r="I100" i="48"/>
  <c r="H100" i="48"/>
  <c r="F106" i="48" s="1"/>
  <c r="I98" i="48"/>
  <c r="I93" i="48"/>
  <c r="I91" i="48"/>
  <c r="I87" i="48"/>
  <c r="I83" i="48"/>
  <c r="I81" i="48"/>
  <c r="I77" i="48"/>
  <c r="G58" i="48"/>
  <c r="I55" i="48"/>
  <c r="I48" i="48"/>
  <c r="I43" i="48"/>
  <c r="G42" i="48"/>
  <c r="I39" i="48"/>
  <c r="I32" i="48"/>
  <c r="I27" i="48"/>
  <c r="I25" i="48"/>
  <c r="I23" i="48"/>
  <c r="I21" i="48"/>
  <c r="I19" i="48"/>
  <c r="I17" i="48"/>
  <c r="I15" i="48"/>
  <c r="K13" i="48"/>
  <c r="I7" i="48"/>
  <c r="I5" i="48"/>
  <c r="I108" i="46"/>
  <c r="I106" i="46"/>
  <c r="I104" i="46"/>
  <c r="I102" i="46"/>
  <c r="J100" i="46"/>
  <c r="I100" i="46"/>
  <c r="H100" i="46"/>
  <c r="I98" i="46"/>
  <c r="I93" i="46"/>
  <c r="I91" i="46"/>
  <c r="I87" i="46"/>
  <c r="I83" i="46"/>
  <c r="I81" i="46"/>
  <c r="I77" i="46"/>
  <c r="G58" i="46"/>
  <c r="I55" i="46"/>
  <c r="I48" i="46"/>
  <c r="H45" i="46"/>
  <c r="H49" i="46" s="1"/>
  <c r="I43" i="46"/>
  <c r="G42" i="46"/>
  <c r="I39" i="46"/>
  <c r="I32" i="46"/>
  <c r="I27" i="46"/>
  <c r="I25" i="46"/>
  <c r="I23" i="46"/>
  <c r="I21" i="46"/>
  <c r="I19" i="46"/>
  <c r="I17" i="46"/>
  <c r="I15" i="46"/>
  <c r="K13" i="46"/>
  <c r="A59" i="21"/>
  <c r="I7" i="46"/>
  <c r="I5" i="46"/>
  <c r="I108" i="45"/>
  <c r="I106" i="45"/>
  <c r="I104" i="45"/>
  <c r="I102" i="45"/>
  <c r="J100" i="45"/>
  <c r="I100" i="45"/>
  <c r="H100" i="45"/>
  <c r="F106" i="45" s="1"/>
  <c r="I98" i="45"/>
  <c r="I93" i="45"/>
  <c r="I91" i="45"/>
  <c r="I87" i="45"/>
  <c r="I83" i="45"/>
  <c r="I81" i="45"/>
  <c r="I77" i="45"/>
  <c r="G58" i="45"/>
  <c r="I55" i="45"/>
  <c r="I48" i="45"/>
  <c r="H45" i="45"/>
  <c r="H51" i="45" s="1"/>
  <c r="I43" i="45"/>
  <c r="G42" i="45"/>
  <c r="I39" i="45"/>
  <c r="I32" i="45"/>
  <c r="I27" i="45"/>
  <c r="I25" i="45"/>
  <c r="I23" i="45"/>
  <c r="I21" i="45"/>
  <c r="I19" i="45"/>
  <c r="I17" i="45"/>
  <c r="I15" i="45"/>
  <c r="K13" i="45"/>
  <c r="I7" i="45"/>
  <c r="I5" i="45"/>
  <c r="I108" i="44"/>
  <c r="I106" i="44"/>
  <c r="I104" i="44"/>
  <c r="I102" i="44"/>
  <c r="J100" i="44"/>
  <c r="I100" i="44"/>
  <c r="H100" i="44"/>
  <c r="F106" i="44" s="1"/>
  <c r="I98" i="44"/>
  <c r="I93" i="44"/>
  <c r="I91" i="44"/>
  <c r="I87" i="44"/>
  <c r="I83" i="44"/>
  <c r="I81" i="44"/>
  <c r="I77" i="44"/>
  <c r="G58" i="44"/>
  <c r="I55" i="44"/>
  <c r="I48" i="44"/>
  <c r="I43" i="44"/>
  <c r="G42" i="44"/>
  <c r="I39" i="44"/>
  <c r="I32" i="44"/>
  <c r="I27" i="44"/>
  <c r="I25" i="44"/>
  <c r="I23" i="44"/>
  <c r="I21" i="44"/>
  <c r="I19" i="44"/>
  <c r="I17" i="44"/>
  <c r="I15" i="44"/>
  <c r="K13" i="44"/>
  <c r="I7" i="44"/>
  <c r="I5" i="44"/>
  <c r="I108" i="43"/>
  <c r="I106" i="43"/>
  <c r="I104" i="43"/>
  <c r="I102" i="43"/>
  <c r="J100" i="43"/>
  <c r="I100" i="43"/>
  <c r="H100" i="43"/>
  <c r="I98" i="43"/>
  <c r="I93" i="43"/>
  <c r="I91" i="43"/>
  <c r="I87" i="43"/>
  <c r="I83" i="43"/>
  <c r="I81" i="43"/>
  <c r="I77" i="43"/>
  <c r="G58" i="43"/>
  <c r="I55" i="43"/>
  <c r="I48" i="43"/>
  <c r="I43" i="43"/>
  <c r="G42" i="43"/>
  <c r="I39" i="43"/>
  <c r="I32" i="43"/>
  <c r="I27" i="43"/>
  <c r="I25" i="43"/>
  <c r="I23" i="43"/>
  <c r="I21" i="43"/>
  <c r="I19" i="43"/>
  <c r="I17" i="43"/>
  <c r="I15" i="43"/>
  <c r="K13" i="43"/>
  <c r="I7" i="43"/>
  <c r="I5" i="43"/>
  <c r="I108" i="42"/>
  <c r="I106" i="42"/>
  <c r="I104" i="42"/>
  <c r="I102" i="42"/>
  <c r="J100" i="42"/>
  <c r="I100" i="42"/>
  <c r="H100" i="42"/>
  <c r="F104" i="42" s="1"/>
  <c r="I98" i="42"/>
  <c r="I93" i="42"/>
  <c r="I91" i="42"/>
  <c r="I87" i="42"/>
  <c r="I83" i="42"/>
  <c r="I81" i="42"/>
  <c r="I77" i="42"/>
  <c r="G58" i="42"/>
  <c r="I55" i="42"/>
  <c r="I48" i="42"/>
  <c r="I43" i="42"/>
  <c r="G42" i="42"/>
  <c r="I39" i="42"/>
  <c r="I32" i="42"/>
  <c r="I27" i="42"/>
  <c r="I25" i="42"/>
  <c r="I23" i="42"/>
  <c r="I21" i="42"/>
  <c r="I19" i="42"/>
  <c r="I17" i="42"/>
  <c r="I15" i="42"/>
  <c r="K13" i="42"/>
  <c r="I7" i="42"/>
  <c r="I5" i="42"/>
  <c r="I32" i="22"/>
  <c r="I93" i="22"/>
  <c r="I87" i="22"/>
  <c r="I83" i="22"/>
  <c r="I77" i="22"/>
  <c r="I63" i="22"/>
  <c r="I48" i="22"/>
  <c r="K13" i="22"/>
  <c r="I9" i="22"/>
  <c r="Q48" i="21" s="1"/>
  <c r="C9" i="57"/>
  <c r="C7" i="57"/>
  <c r="C5" i="57"/>
  <c r="L5" i="27"/>
  <c r="D5" i="27"/>
  <c r="F3" i="27"/>
  <c r="N5" i="25"/>
  <c r="F3" i="25"/>
  <c r="D5" i="25"/>
  <c r="F5" i="40"/>
  <c r="C3" i="40"/>
  <c r="C5" i="40"/>
  <c r="B138" i="40"/>
  <c r="K68" i="21"/>
  <c r="K66" i="21"/>
  <c r="G68" i="21"/>
  <c r="V68" i="21" s="1"/>
  <c r="W68" i="21" s="1"/>
  <c r="G66" i="21"/>
  <c r="V66" i="21" s="1"/>
  <c r="W66" i="21" s="1"/>
  <c r="E68" i="21"/>
  <c r="E66" i="21"/>
  <c r="A68" i="21"/>
  <c r="E44" i="21"/>
  <c r="B31" i="34"/>
  <c r="D3" i="31"/>
  <c r="G6" i="23"/>
  <c r="G8" i="23"/>
  <c r="G10" i="23"/>
  <c r="G12" i="23"/>
  <c r="G17" i="23"/>
  <c r="G21" i="23"/>
  <c r="G23" i="23"/>
  <c r="G25" i="23"/>
  <c r="G30" i="23"/>
  <c r="G32" i="23"/>
  <c r="G34" i="23"/>
  <c r="G36" i="23"/>
  <c r="G41" i="23"/>
  <c r="G45" i="23"/>
  <c r="G47" i="23"/>
  <c r="G49" i="23"/>
  <c r="G54" i="23"/>
  <c r="G56" i="23"/>
  <c r="G58" i="23"/>
  <c r="G60" i="23"/>
  <c r="G65" i="23"/>
  <c r="G69" i="23"/>
  <c r="G71" i="23"/>
  <c r="G73" i="23"/>
  <c r="I5" i="22"/>
  <c r="I7" i="22"/>
  <c r="I15" i="22"/>
  <c r="I17" i="22"/>
  <c r="I19" i="22"/>
  <c r="I21" i="22"/>
  <c r="I23" i="22"/>
  <c r="I25" i="22"/>
  <c r="I27" i="22"/>
  <c r="I39" i="22"/>
  <c r="G42" i="22"/>
  <c r="I43" i="22"/>
  <c r="I55" i="22"/>
  <c r="G58" i="22"/>
  <c r="I70" i="22"/>
  <c r="G73" i="22"/>
  <c r="I81" i="22"/>
  <c r="I91" i="22"/>
  <c r="I98" i="22"/>
  <c r="H100" i="22"/>
  <c r="I100" i="22"/>
  <c r="J100" i="22"/>
  <c r="I102" i="22"/>
  <c r="I104" i="22"/>
  <c r="I106" i="22"/>
  <c r="I108" i="22"/>
  <c r="Q10" i="21"/>
  <c r="Q13" i="21"/>
  <c r="Q16" i="21"/>
  <c r="Q25" i="21"/>
  <c r="U76" i="21"/>
  <c r="U77" i="21"/>
  <c r="U78" i="21"/>
  <c r="U79" i="21"/>
  <c r="U80" i="21"/>
  <c r="U81" i="21"/>
  <c r="U82" i="21"/>
  <c r="U83" i="21"/>
  <c r="U84" i="21"/>
  <c r="U85" i="21"/>
  <c r="I41" i="46"/>
  <c r="F102" i="46"/>
  <c r="H48" i="45"/>
  <c r="I41" i="45"/>
  <c r="I41" i="47"/>
  <c r="F106" i="46"/>
  <c r="F104" i="46"/>
  <c r="F102" i="48"/>
  <c r="H54" i="45"/>
  <c r="F104" i="47"/>
  <c r="F102" i="43"/>
  <c r="F104" i="45"/>
  <c r="T27" i="63"/>
  <c r="S25" i="63"/>
  <c r="H67" i="42"/>
  <c r="H62" i="22"/>
  <c r="H36" i="46"/>
  <c r="H62" i="42"/>
  <c r="S31" i="63"/>
  <c r="S35" i="63"/>
  <c r="R55" i="63"/>
  <c r="S57" i="63"/>
  <c r="R108" i="63"/>
  <c r="L14" i="63"/>
  <c r="H31" i="46"/>
  <c r="H35" i="47"/>
  <c r="H35" i="42"/>
  <c r="H35" i="44"/>
  <c r="R11" i="21"/>
  <c r="P14" i="25"/>
  <c r="N14" i="25"/>
  <c r="L14" i="25"/>
  <c r="J14" i="25"/>
  <c r="S23" i="55"/>
  <c r="S25" i="55"/>
  <c r="S27" i="55"/>
  <c r="S29" i="55"/>
  <c r="S31" i="55"/>
  <c r="S33" i="55"/>
  <c r="S35" i="55"/>
  <c r="S37" i="55"/>
  <c r="S58" i="55"/>
  <c r="S69" i="55"/>
  <c r="S73" i="55"/>
  <c r="S75" i="55"/>
  <c r="S77" i="55"/>
  <c r="R155" i="55"/>
  <c r="R23" i="55"/>
  <c r="R25" i="55"/>
  <c r="R27" i="55"/>
  <c r="R29" i="55"/>
  <c r="R31" i="55"/>
  <c r="R33" i="55"/>
  <c r="R35" i="55"/>
  <c r="R37" i="55"/>
  <c r="L62" i="55"/>
  <c r="R69" i="55"/>
  <c r="R71" i="55"/>
  <c r="R73" i="55"/>
  <c r="R75" i="55"/>
  <c r="R77" i="55"/>
  <c r="S155" i="55"/>
  <c r="T157" i="55"/>
  <c r="T159" i="55"/>
  <c r="S257" i="55"/>
  <c r="Q14" i="58"/>
  <c r="S255" i="58"/>
  <c r="S257" i="58"/>
  <c r="R255" i="58"/>
  <c r="R257" i="58"/>
  <c r="N14" i="64"/>
  <c r="N14" i="59"/>
  <c r="N14" i="60"/>
  <c r="H34" i="22"/>
  <c r="H35" i="22"/>
  <c r="S37" i="63"/>
  <c r="S33" i="63"/>
  <c r="S29" i="63"/>
  <c r="S27" i="63"/>
  <c r="T25" i="63"/>
  <c r="R60" i="63"/>
  <c r="T110" i="63"/>
  <c r="T26" i="63"/>
  <c r="S24" i="63"/>
  <c r="R56" i="63"/>
  <c r="T33" i="63"/>
  <c r="T60" i="63"/>
  <c r="T24" i="63"/>
  <c r="T30" i="63"/>
  <c r="T34" i="63"/>
  <c r="R226" i="63"/>
  <c r="N10" i="61"/>
  <c r="Q10" i="61" s="1"/>
  <c r="N10" i="62"/>
  <c r="Q10" i="62" s="1"/>
  <c r="H31" i="48"/>
  <c r="H66" i="48"/>
  <c r="H37" i="47"/>
  <c r="F106" i="47"/>
  <c r="H50" i="45"/>
  <c r="H47" i="45"/>
  <c r="H34" i="44"/>
  <c r="H33" i="43"/>
  <c r="H38" i="42"/>
  <c r="H67" i="22"/>
  <c r="C91" i="40"/>
  <c r="I91" i="40" s="1"/>
  <c r="B91" i="40" s="1"/>
  <c r="D53" i="40"/>
  <c r="A49" i="40"/>
  <c r="B33" i="40"/>
  <c r="B39" i="40"/>
  <c r="A39" i="40"/>
  <c r="D33" i="40"/>
  <c r="H65" i="42"/>
  <c r="H69" i="42"/>
  <c r="I72" i="42"/>
  <c r="H36" i="42"/>
  <c r="H38" i="22"/>
  <c r="I72" i="22"/>
  <c r="H48" i="22"/>
  <c r="H32" i="44"/>
  <c r="H36" i="43"/>
  <c r="Q14" i="64"/>
  <c r="H36" i="44"/>
  <c r="H38" i="43"/>
  <c r="F14" i="25"/>
  <c r="T108" i="63"/>
  <c r="N14" i="58"/>
  <c r="L248" i="55"/>
  <c r="H34" i="48"/>
  <c r="A115" i="34"/>
  <c r="B59" i="40"/>
  <c r="I41" i="48"/>
  <c r="N14" i="62"/>
  <c r="S51" i="55"/>
  <c r="T22" i="55"/>
  <c r="C71" i="40"/>
  <c r="I71" i="40" s="1"/>
  <c r="D71" i="40" s="1"/>
  <c r="R206" i="59"/>
  <c r="L9" i="25"/>
  <c r="R14" i="25"/>
  <c r="N10" i="58"/>
  <c r="Q10" i="58" s="1"/>
  <c r="N10" i="55"/>
  <c r="N14" i="55"/>
  <c r="A55" i="40"/>
  <c r="B55" i="40" l="1"/>
  <c r="H34" i="43"/>
  <c r="H32" i="43"/>
  <c r="A35" i="40"/>
  <c r="A51" i="40"/>
  <c r="B51" i="40"/>
  <c r="B63" i="40"/>
  <c r="A63" i="40"/>
  <c r="H37" i="43"/>
  <c r="H38" i="46"/>
  <c r="H49" i="48"/>
  <c r="T56" i="63"/>
  <c r="H32" i="22"/>
  <c r="H37" i="48"/>
  <c r="H35" i="46"/>
  <c r="H66" i="22"/>
  <c r="R237" i="63"/>
  <c r="T218" i="63"/>
  <c r="R218" i="63"/>
  <c r="R203" i="63"/>
  <c r="R127" i="58"/>
  <c r="T127" i="58"/>
  <c r="R121" i="60"/>
  <c r="T121" i="60"/>
  <c r="S181" i="60"/>
  <c r="R181" i="60"/>
  <c r="T181" i="60"/>
  <c r="R72" i="61"/>
  <c r="S72" i="61"/>
  <c r="T72" i="61"/>
  <c r="R70" i="61"/>
  <c r="L62" i="61"/>
  <c r="R185" i="61"/>
  <c r="S185" i="61"/>
  <c r="R144" i="62"/>
  <c r="S144" i="62"/>
  <c r="R143" i="63"/>
  <c r="S143" i="63"/>
  <c r="T143" i="63"/>
  <c r="T37" i="61"/>
  <c r="R37" i="61"/>
  <c r="T35" i="61"/>
  <c r="R35" i="61"/>
  <c r="T31" i="61"/>
  <c r="R31" i="61"/>
  <c r="T29" i="61"/>
  <c r="R29" i="61"/>
  <c r="T27" i="61"/>
  <c r="R27" i="61"/>
  <c r="T23" i="61"/>
  <c r="R23" i="61"/>
  <c r="T36" i="60"/>
  <c r="R36" i="60"/>
  <c r="R34" i="60"/>
  <c r="S34" i="60"/>
  <c r="T30" i="60"/>
  <c r="S30" i="60"/>
  <c r="R30" i="60"/>
  <c r="R26" i="60"/>
  <c r="T26" i="60"/>
  <c r="S26" i="60"/>
  <c r="T36" i="64"/>
  <c r="R36" i="64"/>
  <c r="T34" i="64"/>
  <c r="R34" i="64"/>
  <c r="T32" i="64"/>
  <c r="R32" i="64"/>
  <c r="T30" i="64"/>
  <c r="R30" i="64"/>
  <c r="T28" i="64"/>
  <c r="R28" i="64"/>
  <c r="T26" i="64"/>
  <c r="R26" i="64"/>
  <c r="T24" i="64"/>
  <c r="R24" i="64"/>
  <c r="R258" i="58"/>
  <c r="T258" i="58"/>
  <c r="D1" i="58"/>
  <c r="L226" i="58" s="1"/>
  <c r="P9" i="25"/>
  <c r="R108" i="55"/>
  <c r="S108" i="55"/>
  <c r="L162" i="58"/>
  <c r="R224" i="64"/>
  <c r="T224" i="64"/>
  <c r="T222" i="64"/>
  <c r="S222" i="64"/>
  <c r="R218" i="64"/>
  <c r="S218" i="64"/>
  <c r="R55" i="59"/>
  <c r="T55" i="59"/>
  <c r="R221" i="59"/>
  <c r="S221" i="59"/>
  <c r="T221" i="59"/>
  <c r="R78" i="61"/>
  <c r="T78" i="61"/>
  <c r="S189" i="61"/>
  <c r="R121" i="62"/>
  <c r="T121" i="62"/>
  <c r="T139" i="63"/>
  <c r="S36" i="64"/>
  <c r="S34" i="64"/>
  <c r="S32" i="64"/>
  <c r="S30" i="64"/>
  <c r="S28" i="64"/>
  <c r="S26" i="64"/>
  <c r="S24" i="64"/>
  <c r="R32" i="60"/>
  <c r="S36" i="60"/>
  <c r="T34" i="60"/>
  <c r="T24" i="60"/>
  <c r="S37" i="61"/>
  <c r="S35" i="61"/>
  <c r="S33" i="61"/>
  <c r="S31" i="61"/>
  <c r="S29" i="61"/>
  <c r="S27" i="61"/>
  <c r="S25" i="61"/>
  <c r="S23" i="61"/>
  <c r="T25" i="61"/>
  <c r="R37" i="62"/>
  <c r="R35" i="62"/>
  <c r="R33" i="62"/>
  <c r="R29" i="62"/>
  <c r="R27" i="62"/>
  <c r="R25" i="62"/>
  <c r="P35" i="25"/>
  <c r="N226" i="58"/>
  <c r="L230" i="61"/>
  <c r="R232" i="61" s="1"/>
  <c r="L16" i="55"/>
  <c r="R18" i="55" s="1"/>
  <c r="T51" i="55"/>
  <c r="H50" i="22"/>
  <c r="H49" i="22"/>
  <c r="H32" i="42"/>
  <c r="B35" i="40"/>
  <c r="A43" i="40"/>
  <c r="B43" i="40"/>
  <c r="A59" i="40"/>
  <c r="H34" i="42"/>
  <c r="H38" i="44"/>
  <c r="H66" i="47"/>
  <c r="R159" i="55"/>
  <c r="R157" i="55"/>
  <c r="R54" i="55"/>
  <c r="H37" i="44"/>
  <c r="R59" i="63"/>
  <c r="R57" i="63"/>
  <c r="H66" i="42"/>
  <c r="H51" i="48"/>
  <c r="H49" i="42"/>
  <c r="S160" i="63"/>
  <c r="S143" i="55"/>
  <c r="T185" i="55"/>
  <c r="S185" i="55"/>
  <c r="T219" i="55"/>
  <c r="S219" i="55"/>
  <c r="T55" i="58"/>
  <c r="S55" i="58"/>
  <c r="T93" i="58"/>
  <c r="S127" i="58"/>
  <c r="R123" i="58"/>
  <c r="T187" i="58"/>
  <c r="S187" i="58"/>
  <c r="T200" i="58"/>
  <c r="T189" i="64"/>
  <c r="T218" i="64"/>
  <c r="R222" i="64"/>
  <c r="T257" i="64"/>
  <c r="T59" i="59"/>
  <c r="T51" i="59"/>
  <c r="T183" i="59"/>
  <c r="S73" i="60"/>
  <c r="T70" i="61"/>
  <c r="S70" i="61"/>
  <c r="R74" i="61"/>
  <c r="S122" i="61"/>
  <c r="S222" i="61"/>
  <c r="S122" i="62"/>
  <c r="S142" i="62"/>
  <c r="T257" i="62"/>
  <c r="T187" i="63"/>
  <c r="L16" i="59"/>
  <c r="Q14" i="61"/>
  <c r="H14" i="25"/>
  <c r="L101" i="63"/>
  <c r="D25" i="25" s="1"/>
  <c r="R187" i="64"/>
  <c r="S187" i="64"/>
  <c r="R220" i="64"/>
  <c r="T220" i="64"/>
  <c r="S220" i="64"/>
  <c r="R187" i="60"/>
  <c r="T187" i="60"/>
  <c r="S187" i="60"/>
  <c r="H53" i="48"/>
  <c r="T58" i="63"/>
  <c r="T109" i="63"/>
  <c r="H33" i="44"/>
  <c r="S59" i="63"/>
  <c r="S55" i="63"/>
  <c r="H63" i="43"/>
  <c r="H67" i="43"/>
  <c r="T71" i="55"/>
  <c r="S71" i="55"/>
  <c r="R121" i="58"/>
  <c r="S121" i="58"/>
  <c r="R185" i="58"/>
  <c r="T185" i="58"/>
  <c r="S185" i="58"/>
  <c r="R223" i="60"/>
  <c r="S223" i="60"/>
  <c r="R141" i="63"/>
  <c r="T141" i="63"/>
  <c r="S141" i="63"/>
  <c r="R220" i="63"/>
  <c r="S220" i="63"/>
  <c r="L162" i="55"/>
  <c r="N162" i="55" s="1"/>
  <c r="T121" i="58"/>
  <c r="R125" i="64"/>
  <c r="S125" i="64"/>
  <c r="R159" i="64"/>
  <c r="T159" i="64"/>
  <c r="R155" i="64"/>
  <c r="L148" i="64"/>
  <c r="S155" i="64"/>
  <c r="R200" i="60"/>
  <c r="T200" i="60"/>
  <c r="R200" i="62"/>
  <c r="T200" i="62"/>
  <c r="F104" i="44"/>
  <c r="F102" i="44"/>
  <c r="H63" i="42"/>
  <c r="H64" i="42"/>
  <c r="R110" i="63"/>
  <c r="S110" i="63"/>
  <c r="S158" i="63"/>
  <c r="R158" i="63"/>
  <c r="R238" i="63"/>
  <c r="S238" i="63"/>
  <c r="H31" i="42"/>
  <c r="H33" i="42"/>
  <c r="R93" i="64"/>
  <c r="S93" i="64"/>
  <c r="R89" i="64"/>
  <c r="T89" i="64"/>
  <c r="L44" i="59"/>
  <c r="R128" i="61"/>
  <c r="S128" i="61"/>
  <c r="R120" i="61"/>
  <c r="S120" i="61"/>
  <c r="R171" i="63"/>
  <c r="T171" i="63"/>
  <c r="L263" i="60"/>
  <c r="L267" i="60"/>
  <c r="L271" i="60"/>
  <c r="L275" i="60"/>
  <c r="L279" i="60"/>
  <c r="L265" i="59"/>
  <c r="L269" i="59"/>
  <c r="L273" i="59"/>
  <c r="L277" i="59"/>
  <c r="L281" i="59"/>
  <c r="L265" i="58"/>
  <c r="S187" i="59"/>
  <c r="T215" i="59"/>
  <c r="S215" i="59"/>
  <c r="T69" i="60"/>
  <c r="S69" i="60"/>
  <c r="T185" i="60"/>
  <c r="L248" i="62"/>
  <c r="H65" i="45"/>
  <c r="R160" i="63"/>
  <c r="S139" i="55"/>
  <c r="T181" i="55"/>
  <c r="T223" i="55"/>
  <c r="S223" i="55"/>
  <c r="T51" i="58"/>
  <c r="T119" i="58"/>
  <c r="S123" i="58"/>
  <c r="T217" i="58"/>
  <c r="S257" i="64"/>
  <c r="T53" i="59"/>
  <c r="T89" i="59"/>
  <c r="S93" i="59"/>
  <c r="T187" i="59"/>
  <c r="S185" i="59"/>
  <c r="S223" i="59"/>
  <c r="T77" i="60"/>
  <c r="S77" i="60"/>
  <c r="T74" i="61"/>
  <c r="T69" i="61"/>
  <c r="R77" i="61"/>
  <c r="R75" i="61"/>
  <c r="R73" i="61"/>
  <c r="R71" i="61"/>
  <c r="R69" i="61"/>
  <c r="S145" i="61"/>
  <c r="T221" i="61"/>
  <c r="S146" i="62"/>
  <c r="S170" i="63"/>
  <c r="S184" i="63"/>
  <c r="R35" i="59"/>
  <c r="R27" i="59"/>
  <c r="S35" i="59"/>
  <c r="S27" i="59"/>
  <c r="D12" i="55"/>
  <c r="O12" i="55" s="1"/>
  <c r="H52" i="40"/>
  <c r="S110" i="55"/>
  <c r="S145" i="55"/>
  <c r="S137" i="55"/>
  <c r="T221" i="55"/>
  <c r="S221" i="55"/>
  <c r="S93" i="58"/>
  <c r="S221" i="58"/>
  <c r="T127" i="61"/>
  <c r="L174" i="62"/>
  <c r="R250" i="62"/>
  <c r="F39" i="25"/>
  <c r="N248" i="62"/>
  <c r="R176" i="62"/>
  <c r="F30" i="25"/>
  <c r="H69" i="45"/>
  <c r="H54" i="42"/>
  <c r="T238" i="63"/>
  <c r="S224" i="63"/>
  <c r="T158" i="63"/>
  <c r="S58" i="63"/>
  <c r="T53" i="55"/>
  <c r="L270" i="62"/>
  <c r="L274" i="62"/>
  <c r="L278" i="62"/>
  <c r="L282" i="62"/>
  <c r="L269" i="55"/>
  <c r="T109" i="55"/>
  <c r="L208" i="55"/>
  <c r="R217" i="55"/>
  <c r="S217" i="55"/>
  <c r="T217" i="55"/>
  <c r="R95" i="58"/>
  <c r="S95" i="58"/>
  <c r="R91" i="58"/>
  <c r="T91" i="58"/>
  <c r="R87" i="58"/>
  <c r="S87" i="58"/>
  <c r="R126" i="58"/>
  <c r="T126" i="58"/>
  <c r="R219" i="64"/>
  <c r="S219" i="64"/>
  <c r="L230" i="64"/>
  <c r="N38" i="25" s="1"/>
  <c r="R54" i="59"/>
  <c r="S54" i="59"/>
  <c r="R95" i="59"/>
  <c r="T95" i="59"/>
  <c r="R91" i="59"/>
  <c r="T91" i="59"/>
  <c r="R87" i="59"/>
  <c r="T87" i="59"/>
  <c r="R189" i="59"/>
  <c r="S189" i="59"/>
  <c r="T189" i="59"/>
  <c r="R181" i="59"/>
  <c r="S181" i="59"/>
  <c r="T181" i="59"/>
  <c r="R217" i="59"/>
  <c r="S217" i="59"/>
  <c r="T217" i="59"/>
  <c r="R75" i="60"/>
  <c r="S75" i="60"/>
  <c r="R71" i="60"/>
  <c r="T71" i="60"/>
  <c r="R186" i="60"/>
  <c r="S186" i="60"/>
  <c r="T139" i="61"/>
  <c r="T184" i="61"/>
  <c r="R187" i="61"/>
  <c r="S187" i="61"/>
  <c r="R172" i="63"/>
  <c r="S172" i="63"/>
  <c r="T200" i="55"/>
  <c r="R128" i="58"/>
  <c r="S128" i="58"/>
  <c r="R120" i="58"/>
  <c r="S120" i="58"/>
  <c r="L112" i="58"/>
  <c r="R189" i="58"/>
  <c r="S189" i="58"/>
  <c r="T189" i="58"/>
  <c r="R181" i="58"/>
  <c r="S181" i="58"/>
  <c r="T181" i="58"/>
  <c r="R223" i="58"/>
  <c r="S223" i="58"/>
  <c r="R219" i="58"/>
  <c r="T219" i="58"/>
  <c r="R215" i="58"/>
  <c r="L208" i="58"/>
  <c r="S215" i="58"/>
  <c r="R95" i="64"/>
  <c r="S95" i="64"/>
  <c r="R91" i="64"/>
  <c r="T91" i="64"/>
  <c r="R87" i="64"/>
  <c r="L80" i="64"/>
  <c r="S87" i="64"/>
  <c r="R127" i="64"/>
  <c r="T127" i="64"/>
  <c r="R123" i="64"/>
  <c r="T123" i="64"/>
  <c r="R119" i="64"/>
  <c r="L112" i="64"/>
  <c r="R157" i="64"/>
  <c r="S157" i="64"/>
  <c r="R185" i="64"/>
  <c r="T185" i="64"/>
  <c r="R181" i="64"/>
  <c r="T181" i="64"/>
  <c r="L174" i="64"/>
  <c r="R221" i="64"/>
  <c r="T221" i="64"/>
  <c r="R57" i="59"/>
  <c r="S57" i="59"/>
  <c r="L148" i="60"/>
  <c r="R188" i="60"/>
  <c r="T188" i="60"/>
  <c r="R202" i="60"/>
  <c r="T202" i="60"/>
  <c r="R171" i="61"/>
  <c r="T171" i="61"/>
  <c r="R203" i="61"/>
  <c r="S203" i="61"/>
  <c r="R199" i="61"/>
  <c r="S199" i="61"/>
  <c r="R257" i="61"/>
  <c r="T257" i="61"/>
  <c r="T123" i="62"/>
  <c r="R145" i="63"/>
  <c r="S145" i="63"/>
  <c r="T145" i="63"/>
  <c r="R137" i="63"/>
  <c r="S137" i="63"/>
  <c r="T137" i="63"/>
  <c r="S216" i="63"/>
  <c r="S53" i="55"/>
  <c r="L268" i="62"/>
  <c r="L272" i="62"/>
  <c r="L276" i="62"/>
  <c r="L280" i="62"/>
  <c r="L284" i="62"/>
  <c r="R187" i="55"/>
  <c r="S187" i="55"/>
  <c r="R183" i="55"/>
  <c r="T183" i="55"/>
  <c r="R57" i="58"/>
  <c r="S57" i="58"/>
  <c r="R53" i="58"/>
  <c r="T53" i="58"/>
  <c r="R122" i="58"/>
  <c r="T122" i="58"/>
  <c r="R223" i="64"/>
  <c r="S223" i="64"/>
  <c r="R215" i="64"/>
  <c r="S215" i="64"/>
  <c r="R109" i="59"/>
  <c r="T109" i="59"/>
  <c r="R257" i="59"/>
  <c r="S257" i="59"/>
  <c r="T257" i="59"/>
  <c r="R190" i="60"/>
  <c r="S190" i="60"/>
  <c r="R182" i="60"/>
  <c r="S182" i="60"/>
  <c r="L174" i="60"/>
  <c r="R243" i="60"/>
  <c r="T243" i="60"/>
  <c r="R239" i="60"/>
  <c r="T239" i="60"/>
  <c r="R127" i="62"/>
  <c r="T127" i="62"/>
  <c r="R181" i="63"/>
  <c r="S181" i="63"/>
  <c r="R109" i="63"/>
  <c r="T246" i="63"/>
  <c r="L269" i="60"/>
  <c r="L273" i="60"/>
  <c r="L277" i="60"/>
  <c r="L281" i="60"/>
  <c r="L263" i="59"/>
  <c r="L267" i="59"/>
  <c r="L275" i="59"/>
  <c r="L279" i="59"/>
  <c r="L283" i="59"/>
  <c r="L101" i="55"/>
  <c r="L62" i="58"/>
  <c r="R124" i="58"/>
  <c r="S124" i="58"/>
  <c r="R109" i="64"/>
  <c r="S109" i="64"/>
  <c r="T215" i="64"/>
  <c r="L208" i="64"/>
  <c r="R217" i="64"/>
  <c r="T217" i="64"/>
  <c r="R255" i="64"/>
  <c r="T255" i="64"/>
  <c r="R96" i="59"/>
  <c r="S96" i="59"/>
  <c r="L80" i="59"/>
  <c r="N80" i="59" s="1"/>
  <c r="L174" i="59"/>
  <c r="R184" i="60"/>
  <c r="T184" i="60"/>
  <c r="R126" i="61"/>
  <c r="S126" i="61"/>
  <c r="T143" i="61"/>
  <c r="R188" i="61"/>
  <c r="T188" i="61"/>
  <c r="T202" i="61"/>
  <c r="R145" i="62"/>
  <c r="T145" i="62"/>
  <c r="S159" i="64"/>
  <c r="L162" i="64"/>
  <c r="T223" i="59"/>
  <c r="S124" i="61"/>
  <c r="S141" i="61"/>
  <c r="T224" i="63"/>
  <c r="T220" i="63"/>
  <c r="T216" i="63"/>
  <c r="T199" i="63"/>
  <c r="R199" i="63"/>
  <c r="H32" i="47"/>
  <c r="H34" i="47"/>
  <c r="T57" i="55"/>
  <c r="S57" i="55"/>
  <c r="T258" i="55"/>
  <c r="S258" i="55"/>
  <c r="L30" i="25"/>
  <c r="L148" i="58"/>
  <c r="N148" i="58" s="1"/>
  <c r="Q149" i="58" s="1"/>
  <c r="L192" i="59"/>
  <c r="R224" i="59"/>
  <c r="S224" i="59"/>
  <c r="T224" i="59"/>
  <c r="R222" i="59"/>
  <c r="S222" i="59"/>
  <c r="T222" i="59"/>
  <c r="R220" i="59"/>
  <c r="S220" i="59"/>
  <c r="T220" i="59"/>
  <c r="R218" i="59"/>
  <c r="S218" i="59"/>
  <c r="T218" i="59"/>
  <c r="R216" i="59"/>
  <c r="S216" i="59"/>
  <c r="T216" i="59"/>
  <c r="R78" i="60"/>
  <c r="S78" i="60"/>
  <c r="T78" i="60"/>
  <c r="R76" i="60"/>
  <c r="S76" i="60"/>
  <c r="T76" i="60"/>
  <c r="R74" i="60"/>
  <c r="S74" i="60"/>
  <c r="T74" i="60"/>
  <c r="R72" i="60"/>
  <c r="S72" i="60"/>
  <c r="T72" i="60"/>
  <c r="R70" i="60"/>
  <c r="S70" i="60"/>
  <c r="T70" i="60"/>
  <c r="L148" i="55"/>
  <c r="R28" i="25" s="1"/>
  <c r="F24" i="66"/>
  <c r="G24" i="66" s="1"/>
  <c r="F42" i="66"/>
  <c r="G42" i="66" s="1"/>
  <c r="F52" i="66"/>
  <c r="G52" i="66" s="1"/>
  <c r="T110" i="55"/>
  <c r="T108" i="55"/>
  <c r="S109" i="55"/>
  <c r="T144" i="55"/>
  <c r="L174" i="55"/>
  <c r="T224" i="55"/>
  <c r="T222" i="55"/>
  <c r="T220" i="55"/>
  <c r="T218" i="55"/>
  <c r="T216" i="55"/>
  <c r="S224" i="55"/>
  <c r="S222" i="55"/>
  <c r="S220" i="55"/>
  <c r="S218" i="55"/>
  <c r="S216" i="55"/>
  <c r="T58" i="58"/>
  <c r="T56" i="58"/>
  <c r="T54" i="58"/>
  <c r="T52" i="58"/>
  <c r="L80" i="58"/>
  <c r="L174" i="58"/>
  <c r="T224" i="58"/>
  <c r="T222" i="58"/>
  <c r="T220" i="58"/>
  <c r="T218" i="58"/>
  <c r="T216" i="58"/>
  <c r="S224" i="58"/>
  <c r="S222" i="58"/>
  <c r="S220" i="58"/>
  <c r="S218" i="58"/>
  <c r="S216" i="58"/>
  <c r="L62" i="64"/>
  <c r="N21" i="25" s="1"/>
  <c r="T96" i="64"/>
  <c r="T94" i="64"/>
  <c r="T92" i="64"/>
  <c r="T90" i="64"/>
  <c r="T88" i="64"/>
  <c r="S96" i="64"/>
  <c r="S94" i="64"/>
  <c r="S92" i="64"/>
  <c r="S90" i="64"/>
  <c r="S88" i="64"/>
  <c r="T109" i="64"/>
  <c r="T125" i="64"/>
  <c r="T121" i="64"/>
  <c r="S127" i="64"/>
  <c r="S123" i="64"/>
  <c r="S119" i="64"/>
  <c r="L130" i="64"/>
  <c r="N130" i="64" s="1"/>
  <c r="T160" i="64"/>
  <c r="T158" i="64"/>
  <c r="T156" i="64"/>
  <c r="S160" i="64"/>
  <c r="S158" i="64"/>
  <c r="S156" i="64"/>
  <c r="T187" i="64"/>
  <c r="T183" i="64"/>
  <c r="S189" i="64"/>
  <c r="S185" i="64"/>
  <c r="S181" i="64"/>
  <c r="T200" i="64"/>
  <c r="L248" i="64"/>
  <c r="L228" i="64" s="1"/>
  <c r="N228" i="64" s="1"/>
  <c r="T57" i="59"/>
  <c r="T54" i="59"/>
  <c r="T52" i="59"/>
  <c r="S59" i="59"/>
  <c r="S55" i="59"/>
  <c r="S53" i="59"/>
  <c r="S51" i="59"/>
  <c r="L208" i="59"/>
  <c r="L206" i="59" s="1"/>
  <c r="L62" i="60"/>
  <c r="R125" i="60"/>
  <c r="S125" i="60"/>
  <c r="T125" i="60"/>
  <c r="L162" i="60"/>
  <c r="R164" i="60" s="1"/>
  <c r="T255" i="62"/>
  <c r="S255" i="62"/>
  <c r="L80" i="63"/>
  <c r="L16" i="63"/>
  <c r="D12" i="63" s="1"/>
  <c r="O12" i="63" s="1"/>
  <c r="S170" i="60"/>
  <c r="T125" i="61"/>
  <c r="T121" i="61"/>
  <c r="T145" i="61"/>
  <c r="T141" i="61"/>
  <c r="T137" i="61"/>
  <c r="S143" i="61"/>
  <c r="S139" i="61"/>
  <c r="L162" i="61"/>
  <c r="T190" i="61"/>
  <c r="T186" i="61"/>
  <c r="S201" i="61"/>
  <c r="L192" i="61"/>
  <c r="S224" i="61"/>
  <c r="S220" i="61"/>
  <c r="L248" i="61"/>
  <c r="S108" i="62"/>
  <c r="S128" i="62"/>
  <c r="S124" i="62"/>
  <c r="S120" i="62"/>
  <c r="L162" i="62"/>
  <c r="T187" i="62"/>
  <c r="T183" i="62"/>
  <c r="S187" i="62"/>
  <c r="S181" i="62"/>
  <c r="T202" i="62"/>
  <c r="S202" i="62"/>
  <c r="L208" i="62"/>
  <c r="L230" i="63"/>
  <c r="D38" i="25" s="1"/>
  <c r="T237" i="63"/>
  <c r="L130" i="63"/>
  <c r="R103" i="63"/>
  <c r="T52" i="63"/>
  <c r="D15" i="25"/>
  <c r="R23" i="63"/>
  <c r="S23" i="63"/>
  <c r="T23" i="63"/>
  <c r="A47" i="40"/>
  <c r="B47" i="40"/>
  <c r="R150" i="58"/>
  <c r="P28" i="25"/>
  <c r="H54" i="46"/>
  <c r="H69" i="44"/>
  <c r="H69" i="46"/>
  <c r="S91" i="59"/>
  <c r="S87" i="59"/>
  <c r="R92" i="59"/>
  <c r="S92" i="59"/>
  <c r="R90" i="59"/>
  <c r="S90" i="59"/>
  <c r="R88" i="59"/>
  <c r="S88" i="59"/>
  <c r="R127" i="59"/>
  <c r="T127" i="59"/>
  <c r="R125" i="59"/>
  <c r="S125" i="59"/>
  <c r="R123" i="59"/>
  <c r="T123" i="59"/>
  <c r="R121" i="59"/>
  <c r="S121" i="59"/>
  <c r="R119" i="59"/>
  <c r="T119" i="59"/>
  <c r="R159" i="59"/>
  <c r="T159" i="59"/>
  <c r="R157" i="59"/>
  <c r="S157" i="59"/>
  <c r="R155" i="59"/>
  <c r="T155" i="59"/>
  <c r="H53" i="43"/>
  <c r="H52" i="43"/>
  <c r="H54" i="22"/>
  <c r="H53" i="22"/>
  <c r="H52" i="22"/>
  <c r="H69" i="22"/>
  <c r="H65" i="22"/>
  <c r="H51" i="22"/>
  <c r="H35" i="43"/>
  <c r="H49" i="45"/>
  <c r="H38" i="47"/>
  <c r="H33" i="47"/>
  <c r="H38" i="48"/>
  <c r="H36" i="48"/>
  <c r="H35" i="48"/>
  <c r="H33" i="22"/>
  <c r="G77" i="22" s="1"/>
  <c r="G78" i="22" s="1"/>
  <c r="G76" i="22" s="1"/>
  <c r="H37" i="22"/>
  <c r="H36" i="22"/>
  <c r="H33" i="45"/>
  <c r="H33" i="48"/>
  <c r="H31" i="47"/>
  <c r="H68" i="22"/>
  <c r="H64" i="22"/>
  <c r="H52" i="45"/>
  <c r="H53" i="45"/>
  <c r="F106" i="42"/>
  <c r="F102" i="42"/>
  <c r="F102" i="45"/>
  <c r="F104" i="48"/>
  <c r="H67" i="47"/>
  <c r="H49" i="43"/>
  <c r="H48" i="43"/>
  <c r="T242" i="63"/>
  <c r="S242" i="63"/>
  <c r="H70" i="42"/>
  <c r="R55" i="55"/>
  <c r="R59" i="55"/>
  <c r="R256" i="55"/>
  <c r="F12" i="66"/>
  <c r="G12" i="66" s="1"/>
  <c r="F58" i="66"/>
  <c r="G58" i="66" s="1"/>
  <c r="L263" i="62"/>
  <c r="L270" i="59"/>
  <c r="L272" i="59"/>
  <c r="L112" i="55"/>
  <c r="N112" i="55" s="1"/>
  <c r="T146" i="55"/>
  <c r="T142" i="55"/>
  <c r="T138" i="55"/>
  <c r="L130" i="55"/>
  <c r="T190" i="55"/>
  <c r="T188" i="55"/>
  <c r="T186" i="55"/>
  <c r="T184" i="55"/>
  <c r="T182" i="55"/>
  <c r="S190" i="55"/>
  <c r="S188" i="55"/>
  <c r="S186" i="55"/>
  <c r="S184" i="55"/>
  <c r="S182" i="55"/>
  <c r="T202" i="55"/>
  <c r="S202" i="55"/>
  <c r="L230" i="55"/>
  <c r="L228" i="55" s="1"/>
  <c r="N228" i="55" s="1"/>
  <c r="T60" i="58"/>
  <c r="L44" i="58"/>
  <c r="T96" i="58"/>
  <c r="T94" i="58"/>
  <c r="T92" i="58"/>
  <c r="T90" i="58"/>
  <c r="T88" i="58"/>
  <c r="S96" i="58"/>
  <c r="S94" i="58"/>
  <c r="S92" i="58"/>
  <c r="S90" i="58"/>
  <c r="S88" i="58"/>
  <c r="T109" i="58"/>
  <c r="T156" i="58"/>
  <c r="T190" i="58"/>
  <c r="T188" i="58"/>
  <c r="T186" i="58"/>
  <c r="T184" i="58"/>
  <c r="T182" i="58"/>
  <c r="S190" i="58"/>
  <c r="S188" i="58"/>
  <c r="S186" i="58"/>
  <c r="S184" i="58"/>
  <c r="S182" i="58"/>
  <c r="T202" i="58"/>
  <c r="S202" i="58"/>
  <c r="T128" i="64"/>
  <c r="T126" i="64"/>
  <c r="T124" i="64"/>
  <c r="T122" i="64"/>
  <c r="T120" i="64"/>
  <c r="S128" i="64"/>
  <c r="S126" i="64"/>
  <c r="S124" i="64"/>
  <c r="S122" i="64"/>
  <c r="S120" i="64"/>
  <c r="T190" i="64"/>
  <c r="T188" i="64"/>
  <c r="T186" i="64"/>
  <c r="T184" i="64"/>
  <c r="T182" i="64"/>
  <c r="S190" i="64"/>
  <c r="S188" i="64"/>
  <c r="S186" i="64"/>
  <c r="S184" i="64"/>
  <c r="S182" i="64"/>
  <c r="T202" i="64"/>
  <c r="S202" i="64"/>
  <c r="T258" i="64"/>
  <c r="T256" i="64"/>
  <c r="S258" i="64"/>
  <c r="S256" i="64"/>
  <c r="T60" i="59"/>
  <c r="T58" i="59"/>
  <c r="T56" i="59"/>
  <c r="S60" i="59"/>
  <c r="S58" i="59"/>
  <c r="S56" i="59"/>
  <c r="S159" i="59"/>
  <c r="R190" i="59"/>
  <c r="S190" i="59"/>
  <c r="T190" i="59"/>
  <c r="R188" i="59"/>
  <c r="S188" i="59"/>
  <c r="T188" i="59"/>
  <c r="R186" i="59"/>
  <c r="S186" i="59"/>
  <c r="T186" i="59"/>
  <c r="R184" i="59"/>
  <c r="S184" i="59"/>
  <c r="T184" i="59"/>
  <c r="R182" i="59"/>
  <c r="S182" i="59"/>
  <c r="T182" i="59"/>
  <c r="L248" i="59"/>
  <c r="R258" i="62"/>
  <c r="S258" i="62"/>
  <c r="T258" i="62"/>
  <c r="R256" i="62"/>
  <c r="S256" i="62"/>
  <c r="T256" i="62"/>
  <c r="T223" i="60"/>
  <c r="T245" i="60"/>
  <c r="T241" i="60"/>
  <c r="S245" i="60"/>
  <c r="S241" i="60"/>
  <c r="T128" i="61"/>
  <c r="T126" i="61"/>
  <c r="T124" i="61"/>
  <c r="T122" i="61"/>
  <c r="T120" i="61"/>
  <c r="S127" i="61"/>
  <c r="S125" i="61"/>
  <c r="S123" i="61"/>
  <c r="S121" i="61"/>
  <c r="T189" i="61"/>
  <c r="T187" i="61"/>
  <c r="T185" i="61"/>
  <c r="T183" i="61"/>
  <c r="S190" i="61"/>
  <c r="S188" i="61"/>
  <c r="S186" i="61"/>
  <c r="S184" i="61"/>
  <c r="T203" i="61"/>
  <c r="T201" i="61"/>
  <c r="T199" i="61"/>
  <c r="S202" i="61"/>
  <c r="S200" i="61"/>
  <c r="T224" i="61"/>
  <c r="T222" i="61"/>
  <c r="T220" i="61"/>
  <c r="S223" i="61"/>
  <c r="S221" i="61"/>
  <c r="T258" i="61"/>
  <c r="T256" i="61"/>
  <c r="S258" i="61"/>
  <c r="S256" i="61"/>
  <c r="T108" i="62"/>
  <c r="T128" i="62"/>
  <c r="T126" i="62"/>
  <c r="T124" i="62"/>
  <c r="T122" i="62"/>
  <c r="T120" i="62"/>
  <c r="S127" i="62"/>
  <c r="S125" i="62"/>
  <c r="S123" i="62"/>
  <c r="S121" i="62"/>
  <c r="T143" i="62"/>
  <c r="T189" i="62"/>
  <c r="S189" i="62"/>
  <c r="S185" i="62"/>
  <c r="R190" i="62"/>
  <c r="S190" i="62"/>
  <c r="R188" i="62"/>
  <c r="S188" i="62"/>
  <c r="R186" i="62"/>
  <c r="S186" i="62"/>
  <c r="T186" i="62"/>
  <c r="R184" i="62"/>
  <c r="S184" i="62"/>
  <c r="T184" i="62"/>
  <c r="R182" i="62"/>
  <c r="S182" i="62"/>
  <c r="T182" i="62"/>
  <c r="R203" i="62"/>
  <c r="S203" i="62"/>
  <c r="T203" i="62"/>
  <c r="R201" i="62"/>
  <c r="S201" i="62"/>
  <c r="T201" i="62"/>
  <c r="R223" i="62"/>
  <c r="S223" i="62"/>
  <c r="R221" i="62"/>
  <c r="T221" i="62"/>
  <c r="R219" i="62"/>
  <c r="S219" i="62"/>
  <c r="R217" i="62"/>
  <c r="T217" i="62"/>
  <c r="R215" i="62"/>
  <c r="S215" i="62"/>
  <c r="R95" i="63"/>
  <c r="S95" i="63"/>
  <c r="R93" i="63"/>
  <c r="T93" i="63"/>
  <c r="R91" i="63"/>
  <c r="S91" i="63"/>
  <c r="T89" i="63"/>
  <c r="S87" i="63"/>
  <c r="T146" i="63"/>
  <c r="T144" i="63"/>
  <c r="T142" i="63"/>
  <c r="T140" i="63"/>
  <c r="T138" i="63"/>
  <c r="S146" i="63"/>
  <c r="S144" i="63"/>
  <c r="S142" i="63"/>
  <c r="S140" i="63"/>
  <c r="S138" i="63"/>
  <c r="T172" i="63"/>
  <c r="T170" i="63"/>
  <c r="S171" i="63"/>
  <c r="T185" i="63"/>
  <c r="T183" i="63"/>
  <c r="S185" i="63"/>
  <c r="S183" i="63"/>
  <c r="H39" i="44"/>
  <c r="I41" i="44" s="1"/>
  <c r="G77" i="44"/>
  <c r="G78" i="44" s="1"/>
  <c r="G76" i="44" s="1"/>
  <c r="H67" i="45"/>
  <c r="H51" i="42"/>
  <c r="H51" i="43"/>
  <c r="H54" i="43"/>
  <c r="H50" i="43"/>
  <c r="T244" i="63"/>
  <c r="T240" i="63"/>
  <c r="S244" i="63"/>
  <c r="S240" i="63"/>
  <c r="T223" i="63"/>
  <c r="T221" i="63"/>
  <c r="T219" i="63"/>
  <c r="T217" i="63"/>
  <c r="T215" i="63"/>
  <c r="S223" i="63"/>
  <c r="S221" i="63"/>
  <c r="S219" i="63"/>
  <c r="S217" i="63"/>
  <c r="S215" i="63"/>
  <c r="T159" i="63"/>
  <c r="T157" i="63"/>
  <c r="R159" i="63"/>
  <c r="R157" i="63"/>
  <c r="R52" i="63"/>
  <c r="L208" i="63"/>
  <c r="V12" i="21"/>
  <c r="S55" i="55"/>
  <c r="S59" i="55"/>
  <c r="S256" i="55"/>
  <c r="L283" i="63"/>
  <c r="L265" i="62"/>
  <c r="L267" i="62"/>
  <c r="L264" i="60"/>
  <c r="L266" i="60"/>
  <c r="L263" i="58"/>
  <c r="L266" i="58"/>
  <c r="L268" i="58"/>
  <c r="L270" i="58"/>
  <c r="L272" i="58"/>
  <c r="L274" i="58"/>
  <c r="L276" i="58"/>
  <c r="R159" i="58"/>
  <c r="T159" i="58"/>
  <c r="R157" i="58"/>
  <c r="T157" i="58"/>
  <c r="R155" i="58"/>
  <c r="T155" i="58"/>
  <c r="L230" i="58"/>
  <c r="N230" i="58" s="1"/>
  <c r="R60" i="64"/>
  <c r="S60" i="64"/>
  <c r="R58" i="64"/>
  <c r="S58" i="64"/>
  <c r="R56" i="64"/>
  <c r="S56" i="64"/>
  <c r="R54" i="64"/>
  <c r="S54" i="64"/>
  <c r="R52" i="64"/>
  <c r="S52" i="64"/>
  <c r="L101" i="59"/>
  <c r="L25" i="25" s="1"/>
  <c r="R128" i="59"/>
  <c r="S128" i="59"/>
  <c r="T128" i="59"/>
  <c r="R126" i="59"/>
  <c r="S126" i="59"/>
  <c r="T126" i="59"/>
  <c r="R124" i="59"/>
  <c r="S124" i="59"/>
  <c r="T124" i="59"/>
  <c r="R122" i="59"/>
  <c r="S122" i="59"/>
  <c r="T122" i="59"/>
  <c r="R120" i="59"/>
  <c r="S120" i="59"/>
  <c r="T120" i="59"/>
  <c r="R160" i="59"/>
  <c r="S160" i="59"/>
  <c r="T160" i="59"/>
  <c r="R158" i="59"/>
  <c r="S158" i="59"/>
  <c r="T158" i="59"/>
  <c r="R156" i="59"/>
  <c r="S156" i="59"/>
  <c r="T156" i="59"/>
  <c r="R110" i="60"/>
  <c r="T110" i="60"/>
  <c r="R108" i="60"/>
  <c r="T108" i="60"/>
  <c r="R159" i="60"/>
  <c r="T159" i="60"/>
  <c r="R157" i="60"/>
  <c r="T157" i="60"/>
  <c r="R155" i="60"/>
  <c r="T155" i="60"/>
  <c r="R146" i="61"/>
  <c r="S146" i="61"/>
  <c r="T146" i="61"/>
  <c r="R144" i="61"/>
  <c r="S144" i="61"/>
  <c r="T144" i="61"/>
  <c r="R142" i="61"/>
  <c r="S142" i="61"/>
  <c r="T142" i="61"/>
  <c r="R140" i="61"/>
  <c r="S140" i="61"/>
  <c r="T140" i="61"/>
  <c r="R138" i="61"/>
  <c r="S138" i="61"/>
  <c r="T138" i="61"/>
  <c r="L130" i="61"/>
  <c r="R169" i="61"/>
  <c r="S169" i="61"/>
  <c r="T169" i="61"/>
  <c r="G77" i="42"/>
  <c r="G78" i="42" s="1"/>
  <c r="G76" i="42" s="1"/>
  <c r="L280" i="55"/>
  <c r="T145" i="55"/>
  <c r="T143" i="55"/>
  <c r="T141" i="55"/>
  <c r="T139" i="55"/>
  <c r="T137" i="55"/>
  <c r="S146" i="55"/>
  <c r="S144" i="55"/>
  <c r="S142" i="55"/>
  <c r="S140" i="55"/>
  <c r="S138" i="55"/>
  <c r="T59" i="58"/>
  <c r="S60" i="58"/>
  <c r="S58" i="58"/>
  <c r="S56" i="58"/>
  <c r="S54" i="58"/>
  <c r="S52" i="58"/>
  <c r="L130" i="58"/>
  <c r="N130" i="58" s="1"/>
  <c r="S159" i="58"/>
  <c r="S155" i="58"/>
  <c r="R160" i="58"/>
  <c r="S160" i="58"/>
  <c r="R158" i="58"/>
  <c r="S158" i="58"/>
  <c r="R156" i="58"/>
  <c r="S156" i="58"/>
  <c r="S238" i="58"/>
  <c r="T58" i="64"/>
  <c r="T54" i="64"/>
  <c r="L44" i="64"/>
  <c r="R59" i="64"/>
  <c r="T59" i="64"/>
  <c r="R57" i="64"/>
  <c r="T57" i="64"/>
  <c r="R55" i="64"/>
  <c r="T55" i="64"/>
  <c r="R53" i="64"/>
  <c r="T53" i="64"/>
  <c r="R51" i="64"/>
  <c r="T51" i="64"/>
  <c r="L112" i="59"/>
  <c r="L148" i="59"/>
  <c r="T255" i="59"/>
  <c r="S255" i="59"/>
  <c r="R258" i="59"/>
  <c r="S258" i="59"/>
  <c r="T258" i="59"/>
  <c r="R256" i="59"/>
  <c r="S256" i="59"/>
  <c r="T256" i="59"/>
  <c r="S110" i="60"/>
  <c r="L101" i="60"/>
  <c r="R109" i="60"/>
  <c r="S109" i="60"/>
  <c r="T127" i="60"/>
  <c r="T123" i="60"/>
  <c r="S127" i="60"/>
  <c r="S123" i="60"/>
  <c r="R128" i="60"/>
  <c r="S128" i="60"/>
  <c r="T128" i="60"/>
  <c r="R126" i="60"/>
  <c r="S126" i="60"/>
  <c r="T126" i="60"/>
  <c r="R124" i="60"/>
  <c r="S124" i="60"/>
  <c r="T124" i="60"/>
  <c r="R122" i="60"/>
  <c r="S122" i="60"/>
  <c r="T122" i="60"/>
  <c r="L130" i="60"/>
  <c r="J27" i="25" s="1"/>
  <c r="S159" i="60"/>
  <c r="S155" i="60"/>
  <c r="R160" i="60"/>
  <c r="S160" i="60"/>
  <c r="R158" i="60"/>
  <c r="S158" i="60"/>
  <c r="R156" i="60"/>
  <c r="S156" i="60"/>
  <c r="R224" i="60"/>
  <c r="S224" i="60"/>
  <c r="T224" i="60"/>
  <c r="R222" i="60"/>
  <c r="S222" i="60"/>
  <c r="T222" i="60"/>
  <c r="R220" i="60"/>
  <c r="S220" i="60"/>
  <c r="R218" i="60"/>
  <c r="S218" i="60"/>
  <c r="T218" i="60"/>
  <c r="R216" i="60"/>
  <c r="S216" i="60"/>
  <c r="L208" i="60"/>
  <c r="R246" i="60"/>
  <c r="S246" i="60"/>
  <c r="T246" i="60"/>
  <c r="R244" i="60"/>
  <c r="S244" i="60"/>
  <c r="T244" i="60"/>
  <c r="R242" i="60"/>
  <c r="S242" i="60"/>
  <c r="T242" i="60"/>
  <c r="R240" i="60"/>
  <c r="S240" i="60"/>
  <c r="T240" i="60"/>
  <c r="R109" i="61"/>
  <c r="T109" i="61"/>
  <c r="S171" i="61"/>
  <c r="L112" i="60"/>
  <c r="J26" i="25" s="1"/>
  <c r="R221" i="60"/>
  <c r="T221" i="60"/>
  <c r="R219" i="60"/>
  <c r="T219" i="60"/>
  <c r="R217" i="60"/>
  <c r="T217" i="60"/>
  <c r="R215" i="60"/>
  <c r="T215" i="60"/>
  <c r="R172" i="61"/>
  <c r="S172" i="61"/>
  <c r="T172" i="61"/>
  <c r="R170" i="61"/>
  <c r="S170" i="61"/>
  <c r="T170" i="61"/>
  <c r="L44" i="62"/>
  <c r="R46" i="62" s="1"/>
  <c r="R78" i="62"/>
  <c r="S78" i="62"/>
  <c r="R76" i="62"/>
  <c r="S76" i="62"/>
  <c r="T76" i="62"/>
  <c r="R74" i="62"/>
  <c r="S74" i="62"/>
  <c r="R72" i="62"/>
  <c r="S72" i="62"/>
  <c r="T72" i="62"/>
  <c r="R70" i="62"/>
  <c r="S70" i="62"/>
  <c r="L62" i="62"/>
  <c r="R77" i="62"/>
  <c r="T77" i="62"/>
  <c r="R75" i="62"/>
  <c r="T75" i="62"/>
  <c r="R73" i="62"/>
  <c r="T73" i="62"/>
  <c r="R71" i="62"/>
  <c r="T71" i="62"/>
  <c r="R69" i="62"/>
  <c r="T69" i="62"/>
  <c r="T146" i="62"/>
  <c r="T144" i="62"/>
  <c r="T142" i="62"/>
  <c r="S145" i="62"/>
  <c r="S143" i="62"/>
  <c r="T224" i="62"/>
  <c r="T222" i="62"/>
  <c r="T220" i="62"/>
  <c r="T218" i="62"/>
  <c r="T216" i="62"/>
  <c r="S224" i="62"/>
  <c r="S222" i="62"/>
  <c r="S220" i="62"/>
  <c r="S218" i="62"/>
  <c r="S216" i="62"/>
  <c r="T96" i="63"/>
  <c r="T94" i="63"/>
  <c r="T92" i="63"/>
  <c r="T90" i="63"/>
  <c r="T88" i="63"/>
  <c r="S96" i="63"/>
  <c r="S94" i="63"/>
  <c r="S92" i="63"/>
  <c r="S90" i="63"/>
  <c r="S88" i="63"/>
  <c r="L100" i="40"/>
  <c r="K100" i="40" s="1"/>
  <c r="L12" i="59"/>
  <c r="S22" i="55"/>
  <c r="C81" i="40"/>
  <c r="L81" i="40" s="1"/>
  <c r="Q206" i="59"/>
  <c r="Y3" i="21"/>
  <c r="R39" i="25"/>
  <c r="R250" i="55"/>
  <c r="R21" i="25"/>
  <c r="R64" i="55"/>
  <c r="R68" i="55" s="1"/>
  <c r="N62" i="55"/>
  <c r="F102" i="22"/>
  <c r="F104" i="22"/>
  <c r="H53" i="46"/>
  <c r="H48" i="46"/>
  <c r="H50" i="46"/>
  <c r="H52" i="46"/>
  <c r="H47" i="47"/>
  <c r="H53" i="47"/>
  <c r="H50" i="47"/>
  <c r="H52" i="47"/>
  <c r="H51" i="47"/>
  <c r="H62" i="44"/>
  <c r="H64" i="44"/>
  <c r="H66" i="44"/>
  <c r="H68" i="44"/>
  <c r="H62" i="46"/>
  <c r="H64" i="46"/>
  <c r="H66" i="46"/>
  <c r="H68" i="46"/>
  <c r="H62" i="48"/>
  <c r="H65" i="48"/>
  <c r="H69" i="48"/>
  <c r="H68" i="48"/>
  <c r="H64" i="48"/>
  <c r="T51" i="63"/>
  <c r="R51" i="63"/>
  <c r="L44" i="63"/>
  <c r="T53" i="63"/>
  <c r="S53" i="63"/>
  <c r="R239" i="63"/>
  <c r="S239" i="63"/>
  <c r="T239" i="63"/>
  <c r="R241" i="63"/>
  <c r="S241" i="63"/>
  <c r="T241" i="63"/>
  <c r="R243" i="63"/>
  <c r="S243" i="63"/>
  <c r="T243" i="63"/>
  <c r="R245" i="63"/>
  <c r="S245" i="63"/>
  <c r="T245" i="63"/>
  <c r="H31" i="45"/>
  <c r="H34" i="45"/>
  <c r="H38" i="45"/>
  <c r="H35" i="45"/>
  <c r="L275" i="55"/>
  <c r="L283" i="55"/>
  <c r="T255" i="55"/>
  <c r="S255" i="55"/>
  <c r="B37" i="40"/>
  <c r="A37" i="40"/>
  <c r="B45" i="40"/>
  <c r="A45" i="40"/>
  <c r="B53" i="40"/>
  <c r="A53" i="40"/>
  <c r="A61" i="40"/>
  <c r="B61" i="40"/>
  <c r="D1" i="64"/>
  <c r="L226" i="64" s="1"/>
  <c r="N9" i="25"/>
  <c r="L248" i="58"/>
  <c r="R256" i="58"/>
  <c r="R201" i="63"/>
  <c r="T201" i="63"/>
  <c r="R200" i="63"/>
  <c r="T200" i="63"/>
  <c r="R96" i="55"/>
  <c r="T96" i="55"/>
  <c r="R94" i="55"/>
  <c r="T94" i="55"/>
  <c r="R92" i="55"/>
  <c r="T92" i="55"/>
  <c r="R90" i="55"/>
  <c r="T90" i="55"/>
  <c r="R88" i="55"/>
  <c r="T88" i="55"/>
  <c r="R26" i="25"/>
  <c r="R127" i="55"/>
  <c r="S127" i="55"/>
  <c r="R125" i="55"/>
  <c r="S125" i="55"/>
  <c r="R123" i="55"/>
  <c r="S123" i="55"/>
  <c r="R121" i="55"/>
  <c r="S121" i="55"/>
  <c r="R119" i="55"/>
  <c r="S119" i="55"/>
  <c r="R164" i="55"/>
  <c r="R29" i="25"/>
  <c r="R171" i="55"/>
  <c r="S171" i="55"/>
  <c r="R169" i="55"/>
  <c r="S169" i="55"/>
  <c r="R203" i="55"/>
  <c r="S203" i="55"/>
  <c r="T203" i="55"/>
  <c r="R201" i="55"/>
  <c r="S201" i="55"/>
  <c r="T201" i="55"/>
  <c r="R199" i="55"/>
  <c r="S199" i="55"/>
  <c r="T199" i="55"/>
  <c r="R232" i="55"/>
  <c r="R38" i="25"/>
  <c r="N230" i="55"/>
  <c r="R245" i="55"/>
  <c r="S245" i="55"/>
  <c r="R243" i="55"/>
  <c r="S243" i="55"/>
  <c r="R241" i="55"/>
  <c r="S241" i="55"/>
  <c r="R239" i="55"/>
  <c r="S239" i="55"/>
  <c r="R237" i="55"/>
  <c r="S237" i="55"/>
  <c r="S236" i="55" s="1"/>
  <c r="R64" i="58"/>
  <c r="L42" i="58"/>
  <c r="N42" i="58" s="1"/>
  <c r="P21" i="25"/>
  <c r="N62" i="58"/>
  <c r="R77" i="58"/>
  <c r="S77" i="58"/>
  <c r="R75" i="58"/>
  <c r="S75" i="58"/>
  <c r="R73" i="58"/>
  <c r="S73" i="58"/>
  <c r="R71" i="58"/>
  <c r="S71" i="58"/>
  <c r="R69" i="58"/>
  <c r="S69" i="58"/>
  <c r="R110" i="58"/>
  <c r="S110" i="58"/>
  <c r="T110" i="58"/>
  <c r="R108" i="58"/>
  <c r="S108" i="58"/>
  <c r="T108" i="58"/>
  <c r="R145" i="58"/>
  <c r="S145" i="58"/>
  <c r="R143" i="58"/>
  <c r="S143" i="58"/>
  <c r="R141" i="58"/>
  <c r="S141" i="58"/>
  <c r="R139" i="58"/>
  <c r="S139" i="58"/>
  <c r="R137" i="58"/>
  <c r="S137" i="58"/>
  <c r="R164" i="58"/>
  <c r="P29" i="25"/>
  <c r="R171" i="58"/>
  <c r="S171" i="58"/>
  <c r="R169" i="58"/>
  <c r="S169" i="58"/>
  <c r="R203" i="58"/>
  <c r="S203" i="58"/>
  <c r="T203" i="58"/>
  <c r="R201" i="58"/>
  <c r="S201" i="58"/>
  <c r="T201" i="58"/>
  <c r="R199" i="58"/>
  <c r="S199" i="58"/>
  <c r="T199" i="58"/>
  <c r="R232" i="58"/>
  <c r="R245" i="58"/>
  <c r="S245" i="58"/>
  <c r="R243" i="58"/>
  <c r="S243" i="58"/>
  <c r="R241" i="58"/>
  <c r="S241" i="58"/>
  <c r="R239" i="58"/>
  <c r="S239" i="58"/>
  <c r="R237" i="58"/>
  <c r="S237" i="58"/>
  <c r="R64" i="64"/>
  <c r="N62" i="64"/>
  <c r="R77" i="64"/>
  <c r="S77" i="64"/>
  <c r="R75" i="64"/>
  <c r="S75" i="64"/>
  <c r="R73" i="64"/>
  <c r="S73" i="64"/>
  <c r="R71" i="64"/>
  <c r="S71" i="64"/>
  <c r="R69" i="64"/>
  <c r="S69" i="64"/>
  <c r="R110" i="64"/>
  <c r="S110" i="64"/>
  <c r="T110" i="64"/>
  <c r="R108" i="64"/>
  <c r="S108" i="64"/>
  <c r="T108" i="64"/>
  <c r="R132" i="64"/>
  <c r="N27" i="25"/>
  <c r="R145" i="64"/>
  <c r="S145" i="64"/>
  <c r="T145" i="64"/>
  <c r="R143" i="64"/>
  <c r="S143" i="64"/>
  <c r="R141" i="64"/>
  <c r="S141" i="64"/>
  <c r="T141" i="64"/>
  <c r="R139" i="64"/>
  <c r="S139" i="64"/>
  <c r="R137" i="64"/>
  <c r="S137" i="64"/>
  <c r="T137" i="64"/>
  <c r="R164" i="64"/>
  <c r="N29" i="25"/>
  <c r="N162" i="64"/>
  <c r="R171" i="64"/>
  <c r="S171" i="64"/>
  <c r="T171" i="64"/>
  <c r="R169" i="64"/>
  <c r="S169" i="64"/>
  <c r="R203" i="64"/>
  <c r="S203" i="64"/>
  <c r="T203" i="64"/>
  <c r="R201" i="64"/>
  <c r="S201" i="64"/>
  <c r="T201" i="64"/>
  <c r="R199" i="64"/>
  <c r="S199" i="64"/>
  <c r="T199" i="64"/>
  <c r="L192" i="64"/>
  <c r="R232" i="64"/>
  <c r="N230" i="64"/>
  <c r="R245" i="64"/>
  <c r="S245" i="64"/>
  <c r="T245" i="64"/>
  <c r="R243" i="64"/>
  <c r="S243" i="64"/>
  <c r="R241" i="64"/>
  <c r="S241" i="64"/>
  <c r="T241" i="64"/>
  <c r="R239" i="64"/>
  <c r="S239" i="64"/>
  <c r="R237" i="64"/>
  <c r="S237" i="64"/>
  <c r="T237" i="64"/>
  <c r="R78" i="59"/>
  <c r="T78" i="59"/>
  <c r="S78" i="59"/>
  <c r="R76" i="59"/>
  <c r="T76" i="59"/>
  <c r="R74" i="59"/>
  <c r="T74" i="59"/>
  <c r="S74" i="59"/>
  <c r="R72" i="59"/>
  <c r="T72" i="59"/>
  <c r="R70" i="59"/>
  <c r="T70" i="59"/>
  <c r="L62" i="59"/>
  <c r="S70" i="59"/>
  <c r="R103" i="59"/>
  <c r="R146" i="59"/>
  <c r="T146" i="59"/>
  <c r="S146" i="59"/>
  <c r="R144" i="59"/>
  <c r="T144" i="59"/>
  <c r="R142" i="59"/>
  <c r="T142" i="59"/>
  <c r="S142" i="59"/>
  <c r="R140" i="59"/>
  <c r="T140" i="59"/>
  <c r="R138" i="59"/>
  <c r="T138" i="59"/>
  <c r="L130" i="59"/>
  <c r="S138" i="59"/>
  <c r="R172" i="59"/>
  <c r="T172" i="59"/>
  <c r="R170" i="59"/>
  <c r="T170" i="59"/>
  <c r="L162" i="59"/>
  <c r="S170" i="59"/>
  <c r="R132" i="60"/>
  <c r="N130" i="60"/>
  <c r="R145" i="60"/>
  <c r="S145" i="60"/>
  <c r="T145" i="60"/>
  <c r="R143" i="60"/>
  <c r="S143" i="60"/>
  <c r="R141" i="60"/>
  <c r="S141" i="60"/>
  <c r="T141" i="60"/>
  <c r="R139" i="60"/>
  <c r="S139" i="60"/>
  <c r="R137" i="60"/>
  <c r="S137" i="60"/>
  <c r="T137" i="60"/>
  <c r="R51" i="61"/>
  <c r="S51" i="61"/>
  <c r="L44" i="61"/>
  <c r="T51" i="61"/>
  <c r="I10" i="40"/>
  <c r="A10" i="40" s="1"/>
  <c r="L10" i="40"/>
  <c r="F106" i="43"/>
  <c r="F104" i="43"/>
  <c r="H62" i="43"/>
  <c r="H65" i="43"/>
  <c r="H69" i="43"/>
  <c r="H68" i="43"/>
  <c r="H64" i="43"/>
  <c r="H62" i="45"/>
  <c r="H64" i="45"/>
  <c r="H66" i="45"/>
  <c r="H68" i="45"/>
  <c r="H62" i="47"/>
  <c r="H65" i="47"/>
  <c r="H69" i="47"/>
  <c r="H68" i="47"/>
  <c r="H64" i="47"/>
  <c r="H47" i="42"/>
  <c r="H52" i="42"/>
  <c r="H50" i="42"/>
  <c r="H53" i="42"/>
  <c r="H47" i="44"/>
  <c r="H49" i="44"/>
  <c r="H51" i="44"/>
  <c r="H53" i="44"/>
  <c r="H47" i="48"/>
  <c r="H52" i="48"/>
  <c r="H50" i="48"/>
  <c r="H54" i="48"/>
  <c r="R54" i="63"/>
  <c r="T54" i="63"/>
  <c r="R202" i="63"/>
  <c r="S202" i="63"/>
  <c r="T202" i="63"/>
  <c r="H32" i="46"/>
  <c r="H33" i="46"/>
  <c r="H37" i="46"/>
  <c r="G77" i="43"/>
  <c r="G78" i="43" s="1"/>
  <c r="G76" i="43" s="1"/>
  <c r="H39" i="43"/>
  <c r="I41" i="43" s="1"/>
  <c r="T52" i="55"/>
  <c r="S52" i="55"/>
  <c r="R52" i="55"/>
  <c r="T56" i="55"/>
  <c r="S56" i="55"/>
  <c r="R56" i="55"/>
  <c r="T60" i="55"/>
  <c r="S60" i="55"/>
  <c r="R60" i="55"/>
  <c r="T70" i="55"/>
  <c r="S70" i="55"/>
  <c r="T72" i="55"/>
  <c r="S72" i="55"/>
  <c r="T74" i="55"/>
  <c r="S74" i="55"/>
  <c r="T76" i="55"/>
  <c r="S76" i="55"/>
  <c r="T78" i="55"/>
  <c r="S78" i="55"/>
  <c r="R150" i="55"/>
  <c r="R154" i="55" s="1"/>
  <c r="N148" i="55"/>
  <c r="Q149" i="55" s="1"/>
  <c r="T156" i="55"/>
  <c r="S156" i="55"/>
  <c r="T158" i="55"/>
  <c r="S158" i="55"/>
  <c r="T160" i="55"/>
  <c r="S160" i="55"/>
  <c r="R206" i="55"/>
  <c r="Q206" i="55"/>
  <c r="T257" i="55"/>
  <c r="R257" i="55"/>
  <c r="C77" i="40"/>
  <c r="I77" i="40" s="1"/>
  <c r="C67" i="40"/>
  <c r="I67" i="40" s="1"/>
  <c r="D67" i="40" s="1"/>
  <c r="C79" i="40"/>
  <c r="L79" i="40" s="1"/>
  <c r="C89" i="40"/>
  <c r="L89" i="40" s="1"/>
  <c r="B41" i="40"/>
  <c r="D41" i="40"/>
  <c r="B49" i="40"/>
  <c r="D49" i="40"/>
  <c r="B57" i="40"/>
  <c r="A57" i="40"/>
  <c r="R95" i="55"/>
  <c r="S95" i="55"/>
  <c r="R93" i="55"/>
  <c r="S93" i="55"/>
  <c r="R91" i="55"/>
  <c r="S91" i="55"/>
  <c r="R89" i="55"/>
  <c r="S89" i="55"/>
  <c r="R87" i="55"/>
  <c r="S87" i="55"/>
  <c r="R128" i="55"/>
  <c r="T128" i="55"/>
  <c r="R126" i="55"/>
  <c r="T126" i="55"/>
  <c r="R124" i="55"/>
  <c r="T124" i="55"/>
  <c r="R122" i="55"/>
  <c r="T122" i="55"/>
  <c r="R120" i="55"/>
  <c r="T120" i="55"/>
  <c r="R172" i="55"/>
  <c r="T172" i="55"/>
  <c r="R170" i="55"/>
  <c r="T170" i="55"/>
  <c r="R246" i="55"/>
  <c r="T246" i="55"/>
  <c r="R244" i="55"/>
  <c r="T244" i="55"/>
  <c r="R242" i="55"/>
  <c r="T242" i="55"/>
  <c r="R240" i="55"/>
  <c r="T240" i="55"/>
  <c r="R238" i="55"/>
  <c r="T238" i="55"/>
  <c r="R78" i="58"/>
  <c r="T78" i="58"/>
  <c r="R76" i="58"/>
  <c r="T76" i="58"/>
  <c r="R74" i="58"/>
  <c r="T74" i="58"/>
  <c r="R72" i="58"/>
  <c r="T72" i="58"/>
  <c r="R70" i="58"/>
  <c r="T70" i="58"/>
  <c r="R146" i="58"/>
  <c r="T146" i="58"/>
  <c r="R144" i="58"/>
  <c r="T144" i="58"/>
  <c r="R142" i="58"/>
  <c r="T142" i="58"/>
  <c r="R140" i="58"/>
  <c r="T140" i="58"/>
  <c r="R138" i="58"/>
  <c r="T138" i="58"/>
  <c r="R172" i="58"/>
  <c r="T172" i="58"/>
  <c r="R170" i="58"/>
  <c r="T170" i="58"/>
  <c r="R246" i="58"/>
  <c r="T246" i="58"/>
  <c r="R244" i="58"/>
  <c r="T244" i="58"/>
  <c r="R242" i="58"/>
  <c r="T242" i="58"/>
  <c r="R240" i="58"/>
  <c r="T240" i="58"/>
  <c r="R238" i="58"/>
  <c r="T238" i="58"/>
  <c r="R78" i="64"/>
  <c r="T78" i="64"/>
  <c r="R76" i="64"/>
  <c r="T76" i="64"/>
  <c r="R74" i="64"/>
  <c r="T74" i="64"/>
  <c r="R72" i="64"/>
  <c r="T72" i="64"/>
  <c r="R70" i="64"/>
  <c r="T70" i="64"/>
  <c r="R202" i="59"/>
  <c r="S202" i="59"/>
  <c r="R200" i="59"/>
  <c r="T200" i="59"/>
  <c r="R246" i="59"/>
  <c r="T246" i="59"/>
  <c r="S246" i="59"/>
  <c r="R244" i="59"/>
  <c r="T244" i="59"/>
  <c r="R242" i="59"/>
  <c r="T242" i="59"/>
  <c r="S242" i="59"/>
  <c r="R240" i="59"/>
  <c r="T240" i="59"/>
  <c r="R238" i="59"/>
  <c r="T238" i="59"/>
  <c r="L230" i="59"/>
  <c r="S238" i="59"/>
  <c r="R60" i="60"/>
  <c r="T60" i="60"/>
  <c r="S60" i="60"/>
  <c r="R58" i="60"/>
  <c r="T58" i="60"/>
  <c r="R56" i="60"/>
  <c r="T56" i="60"/>
  <c r="S56" i="60"/>
  <c r="R54" i="60"/>
  <c r="T54" i="60"/>
  <c r="R52" i="60"/>
  <c r="T52" i="60"/>
  <c r="L44" i="60"/>
  <c r="S52" i="60"/>
  <c r="R96" i="60"/>
  <c r="T96" i="60"/>
  <c r="S96" i="60"/>
  <c r="R94" i="60"/>
  <c r="T94" i="60"/>
  <c r="R92" i="60"/>
  <c r="T92" i="60"/>
  <c r="S92" i="60"/>
  <c r="R90" i="60"/>
  <c r="T90" i="60"/>
  <c r="R88" i="60"/>
  <c r="T88" i="60"/>
  <c r="L80" i="60"/>
  <c r="S88" i="60"/>
  <c r="P29" i="27"/>
  <c r="H32" i="40"/>
  <c r="L285" i="64"/>
  <c r="L262" i="55"/>
  <c r="L264" i="55"/>
  <c r="L266" i="55"/>
  <c r="L268" i="55"/>
  <c r="L270" i="55"/>
  <c r="L272" i="55"/>
  <c r="L274" i="55"/>
  <c r="L276" i="55"/>
  <c r="L278" i="55"/>
  <c r="L282" i="55"/>
  <c r="L284" i="55"/>
  <c r="K10" i="67"/>
  <c r="N248" i="55"/>
  <c r="L279" i="55"/>
  <c r="L44" i="55"/>
  <c r="Q206" i="58"/>
  <c r="F9" i="25"/>
  <c r="D37" i="40"/>
  <c r="F106" i="22"/>
  <c r="N101" i="59"/>
  <c r="N162" i="58"/>
  <c r="R255" i="55"/>
  <c r="R58" i="55"/>
  <c r="S54" i="55"/>
  <c r="H37" i="45"/>
  <c r="L192" i="63"/>
  <c r="R53" i="63"/>
  <c r="H54" i="47"/>
  <c r="H51" i="46"/>
  <c r="H47" i="46"/>
  <c r="H49" i="47"/>
  <c r="H48" i="47"/>
  <c r="H67" i="44"/>
  <c r="H63" i="44"/>
  <c r="H67" i="46"/>
  <c r="H63" i="46"/>
  <c r="H63" i="48"/>
  <c r="S107" i="63"/>
  <c r="H39" i="22"/>
  <c r="I41" i="22" s="1"/>
  <c r="H39" i="42"/>
  <c r="I41" i="42" s="1"/>
  <c r="H32" i="45"/>
  <c r="T256" i="58"/>
  <c r="S258" i="58"/>
  <c r="L262" i="61"/>
  <c r="L264" i="61"/>
  <c r="L266" i="61"/>
  <c r="L268" i="61"/>
  <c r="L270" i="61"/>
  <c r="L272" i="61"/>
  <c r="L274" i="61"/>
  <c r="L276" i="61"/>
  <c r="L278" i="61"/>
  <c r="L280" i="61"/>
  <c r="L99" i="59"/>
  <c r="N99" i="59" s="1"/>
  <c r="Q99" i="59" s="1"/>
  <c r="L262" i="64"/>
  <c r="L264" i="64"/>
  <c r="L266" i="64"/>
  <c r="L268" i="64"/>
  <c r="L270" i="64"/>
  <c r="L272" i="64"/>
  <c r="L274" i="64"/>
  <c r="L276" i="64"/>
  <c r="L278" i="64"/>
  <c r="L280" i="64"/>
  <c r="L282" i="64"/>
  <c r="L284" i="64"/>
  <c r="L277" i="58"/>
  <c r="L279" i="58"/>
  <c r="L281" i="58"/>
  <c r="L283" i="58"/>
  <c r="Q42" i="64"/>
  <c r="O42" i="64" s="1"/>
  <c r="S201" i="63"/>
  <c r="S200" i="63"/>
  <c r="S96" i="55"/>
  <c r="S92" i="55"/>
  <c r="S88" i="55"/>
  <c r="L80" i="55"/>
  <c r="T127" i="55"/>
  <c r="T123" i="55"/>
  <c r="T119" i="55"/>
  <c r="T171" i="55"/>
  <c r="L192" i="55"/>
  <c r="T245" i="55"/>
  <c r="T241" i="55"/>
  <c r="T237" i="55"/>
  <c r="T77" i="58"/>
  <c r="T73" i="58"/>
  <c r="T69" i="58"/>
  <c r="L101" i="58"/>
  <c r="T145" i="58"/>
  <c r="T141" i="58"/>
  <c r="T137" i="58"/>
  <c r="T171" i="58"/>
  <c r="L192" i="58"/>
  <c r="T245" i="58"/>
  <c r="T241" i="58"/>
  <c r="T237" i="58"/>
  <c r="T77" i="64"/>
  <c r="T73" i="64"/>
  <c r="T69" i="64"/>
  <c r="L101" i="64"/>
  <c r="T143" i="64"/>
  <c r="T169" i="64"/>
  <c r="T243" i="64"/>
  <c r="S76" i="59"/>
  <c r="S109" i="59"/>
  <c r="S144" i="59"/>
  <c r="T143" i="60"/>
  <c r="R171" i="60"/>
  <c r="S171" i="60"/>
  <c r="R169" i="60"/>
  <c r="S169" i="60"/>
  <c r="R203" i="60"/>
  <c r="S203" i="60"/>
  <c r="T203" i="60"/>
  <c r="R201" i="60"/>
  <c r="S201" i="60"/>
  <c r="T201" i="60"/>
  <c r="R199" i="60"/>
  <c r="S199" i="60"/>
  <c r="T199" i="60"/>
  <c r="L230" i="60"/>
  <c r="J38" i="25" s="1"/>
  <c r="S238" i="60"/>
  <c r="R60" i="61"/>
  <c r="T60" i="61"/>
  <c r="R58" i="61"/>
  <c r="T58" i="61"/>
  <c r="R56" i="61"/>
  <c r="T56" i="61"/>
  <c r="R54" i="61"/>
  <c r="T54" i="61"/>
  <c r="R52" i="61"/>
  <c r="T52" i="61"/>
  <c r="R96" i="61"/>
  <c r="T96" i="61"/>
  <c r="R94" i="61"/>
  <c r="T94" i="61"/>
  <c r="R92" i="61"/>
  <c r="T92" i="61"/>
  <c r="R90" i="61"/>
  <c r="T90" i="61"/>
  <c r="R88" i="61"/>
  <c r="T88" i="61"/>
  <c r="R110" i="61"/>
  <c r="S110" i="61"/>
  <c r="T110" i="61"/>
  <c r="R160" i="61"/>
  <c r="T160" i="61"/>
  <c r="R158" i="61"/>
  <c r="T158" i="61"/>
  <c r="R156" i="61"/>
  <c r="T156" i="61"/>
  <c r="R181" i="61"/>
  <c r="S181" i="61"/>
  <c r="R245" i="61"/>
  <c r="S245" i="61"/>
  <c r="R243" i="61"/>
  <c r="S243" i="61"/>
  <c r="R241" i="61"/>
  <c r="S241" i="61"/>
  <c r="R239" i="61"/>
  <c r="S239" i="61"/>
  <c r="R237" i="61"/>
  <c r="S237" i="61"/>
  <c r="R59" i="62"/>
  <c r="S59" i="62"/>
  <c r="R57" i="62"/>
  <c r="S57" i="62"/>
  <c r="R55" i="62"/>
  <c r="S55" i="62"/>
  <c r="R53" i="62"/>
  <c r="S53" i="62"/>
  <c r="R51" i="62"/>
  <c r="S51" i="62"/>
  <c r="R140" i="62"/>
  <c r="S140" i="62"/>
  <c r="R138" i="62"/>
  <c r="S138" i="62"/>
  <c r="T138" i="62"/>
  <c r="R171" i="62"/>
  <c r="S171" i="62"/>
  <c r="T171" i="62"/>
  <c r="R169" i="62"/>
  <c r="S169" i="62"/>
  <c r="R169" i="63"/>
  <c r="S169" i="63"/>
  <c r="T169" i="63"/>
  <c r="R190" i="63"/>
  <c r="T190" i="63"/>
  <c r="S190" i="63"/>
  <c r="R258" i="63"/>
  <c r="T258" i="63"/>
  <c r="R256" i="63"/>
  <c r="T256" i="63"/>
  <c r="L248" i="63"/>
  <c r="S256" i="63"/>
  <c r="S182" i="63"/>
  <c r="R182" i="63"/>
  <c r="T182" i="63"/>
  <c r="T37" i="60"/>
  <c r="S37" i="60"/>
  <c r="R37" i="60"/>
  <c r="T35" i="60"/>
  <c r="S35" i="60"/>
  <c r="R35" i="60"/>
  <c r="T33" i="60"/>
  <c r="S33" i="60"/>
  <c r="R33" i="60"/>
  <c r="T31" i="60"/>
  <c r="S31" i="60"/>
  <c r="R31" i="60"/>
  <c r="T29" i="60"/>
  <c r="S29" i="60"/>
  <c r="R29" i="60"/>
  <c r="T27" i="60"/>
  <c r="S27" i="60"/>
  <c r="R27" i="60"/>
  <c r="T25" i="60"/>
  <c r="S25" i="60"/>
  <c r="R25" i="60"/>
  <c r="L16" i="60"/>
  <c r="T23" i="60"/>
  <c r="S23" i="60"/>
  <c r="R23" i="60"/>
  <c r="T36" i="59"/>
  <c r="S36" i="59"/>
  <c r="R36" i="59"/>
  <c r="T34" i="59"/>
  <c r="S34" i="59"/>
  <c r="R34" i="59"/>
  <c r="T32" i="59"/>
  <c r="S32" i="59"/>
  <c r="R32" i="59"/>
  <c r="T30" i="59"/>
  <c r="S30" i="59"/>
  <c r="R30" i="59"/>
  <c r="T28" i="59"/>
  <c r="S28" i="59"/>
  <c r="R28" i="59"/>
  <c r="T26" i="59"/>
  <c r="S26" i="59"/>
  <c r="R26" i="59"/>
  <c r="T24" i="59"/>
  <c r="S24" i="59"/>
  <c r="R24" i="59"/>
  <c r="T37" i="58"/>
  <c r="S37" i="58"/>
  <c r="R37" i="58"/>
  <c r="T35" i="58"/>
  <c r="S35" i="58"/>
  <c r="R35" i="58"/>
  <c r="T33" i="58"/>
  <c r="S33" i="58"/>
  <c r="R33" i="58"/>
  <c r="T31" i="58"/>
  <c r="S31" i="58"/>
  <c r="R31" i="58"/>
  <c r="T29" i="58"/>
  <c r="S29" i="58"/>
  <c r="R29" i="58"/>
  <c r="T27" i="58"/>
  <c r="S27" i="58"/>
  <c r="R27" i="58"/>
  <c r="T25" i="58"/>
  <c r="S25" i="58"/>
  <c r="R25" i="58"/>
  <c r="L16" i="58"/>
  <c r="T23" i="58"/>
  <c r="S23" i="58"/>
  <c r="R23" i="58"/>
  <c r="R146" i="64"/>
  <c r="T146" i="64"/>
  <c r="R144" i="64"/>
  <c r="T144" i="64"/>
  <c r="R142" i="64"/>
  <c r="T142" i="64"/>
  <c r="R140" i="64"/>
  <c r="T140" i="64"/>
  <c r="R138" i="64"/>
  <c r="T138" i="64"/>
  <c r="R172" i="64"/>
  <c r="T172" i="64"/>
  <c r="R170" i="64"/>
  <c r="T170" i="64"/>
  <c r="R246" i="64"/>
  <c r="T246" i="64"/>
  <c r="R244" i="64"/>
  <c r="T244" i="64"/>
  <c r="R242" i="64"/>
  <c r="T242" i="64"/>
  <c r="R240" i="64"/>
  <c r="T240" i="64"/>
  <c r="R238" i="64"/>
  <c r="T238" i="64"/>
  <c r="R77" i="59"/>
  <c r="S77" i="59"/>
  <c r="R75" i="59"/>
  <c r="S75" i="59"/>
  <c r="R73" i="59"/>
  <c r="S73" i="59"/>
  <c r="R71" i="59"/>
  <c r="S71" i="59"/>
  <c r="R69" i="59"/>
  <c r="S69" i="59"/>
  <c r="R110" i="59"/>
  <c r="S110" i="59"/>
  <c r="T110" i="59"/>
  <c r="R108" i="59"/>
  <c r="S108" i="59"/>
  <c r="T108" i="59"/>
  <c r="R145" i="59"/>
  <c r="S145" i="59"/>
  <c r="R143" i="59"/>
  <c r="S143" i="59"/>
  <c r="R141" i="59"/>
  <c r="S141" i="59"/>
  <c r="R139" i="59"/>
  <c r="S139" i="59"/>
  <c r="R137" i="59"/>
  <c r="S137" i="59"/>
  <c r="R171" i="59"/>
  <c r="S171" i="59"/>
  <c r="R169" i="59"/>
  <c r="S169" i="59"/>
  <c r="R203" i="59"/>
  <c r="S203" i="59"/>
  <c r="T203" i="59"/>
  <c r="R201" i="59"/>
  <c r="S201" i="59"/>
  <c r="T201" i="59"/>
  <c r="R199" i="59"/>
  <c r="S199" i="59"/>
  <c r="T199" i="59"/>
  <c r="R245" i="59"/>
  <c r="S245" i="59"/>
  <c r="R243" i="59"/>
  <c r="S243" i="59"/>
  <c r="R241" i="59"/>
  <c r="S241" i="59"/>
  <c r="R239" i="59"/>
  <c r="S239" i="59"/>
  <c r="R237" i="59"/>
  <c r="S237" i="59"/>
  <c r="R59" i="60"/>
  <c r="S59" i="60"/>
  <c r="R57" i="60"/>
  <c r="S57" i="60"/>
  <c r="R55" i="60"/>
  <c r="S55" i="60"/>
  <c r="R53" i="60"/>
  <c r="S53" i="60"/>
  <c r="R51" i="60"/>
  <c r="S51" i="60"/>
  <c r="R95" i="60"/>
  <c r="S95" i="60"/>
  <c r="R93" i="60"/>
  <c r="S93" i="60"/>
  <c r="R91" i="60"/>
  <c r="S91" i="60"/>
  <c r="R89" i="60"/>
  <c r="S89" i="60"/>
  <c r="R87" i="60"/>
  <c r="S87" i="60"/>
  <c r="R146" i="60"/>
  <c r="T146" i="60"/>
  <c r="R144" i="60"/>
  <c r="T144" i="60"/>
  <c r="R142" i="60"/>
  <c r="T142" i="60"/>
  <c r="R140" i="60"/>
  <c r="T140" i="60"/>
  <c r="R138" i="60"/>
  <c r="T138" i="60"/>
  <c r="R172" i="60"/>
  <c r="T172" i="60"/>
  <c r="R170" i="60"/>
  <c r="T170" i="60"/>
  <c r="R59" i="61"/>
  <c r="S59" i="61"/>
  <c r="R57" i="61"/>
  <c r="S57" i="61"/>
  <c r="R55" i="61"/>
  <c r="S55" i="61"/>
  <c r="R53" i="61"/>
  <c r="S53" i="61"/>
  <c r="R95" i="61"/>
  <c r="S95" i="61"/>
  <c r="R93" i="61"/>
  <c r="S93" i="61"/>
  <c r="R91" i="61"/>
  <c r="S91" i="61"/>
  <c r="R89" i="61"/>
  <c r="S89" i="61"/>
  <c r="R87" i="61"/>
  <c r="S87" i="61"/>
  <c r="R159" i="61"/>
  <c r="S159" i="61"/>
  <c r="R157" i="61"/>
  <c r="S157" i="61"/>
  <c r="R155" i="61"/>
  <c r="S155" i="61"/>
  <c r="R218" i="61"/>
  <c r="S218" i="61"/>
  <c r="T218" i="61"/>
  <c r="R216" i="61"/>
  <c r="S216" i="61"/>
  <c r="T216" i="61"/>
  <c r="R246" i="61"/>
  <c r="T246" i="61"/>
  <c r="R244" i="61"/>
  <c r="T244" i="61"/>
  <c r="R242" i="61"/>
  <c r="T242" i="61"/>
  <c r="R240" i="61"/>
  <c r="T240" i="61"/>
  <c r="R238" i="61"/>
  <c r="T238" i="61"/>
  <c r="R60" i="62"/>
  <c r="T60" i="62"/>
  <c r="R58" i="62"/>
  <c r="T58" i="62"/>
  <c r="R56" i="62"/>
  <c r="T56" i="62"/>
  <c r="R54" i="62"/>
  <c r="T54" i="62"/>
  <c r="R52" i="62"/>
  <c r="T52" i="62"/>
  <c r="R96" i="62"/>
  <c r="S96" i="62"/>
  <c r="T96" i="62"/>
  <c r="R94" i="62"/>
  <c r="T94" i="62"/>
  <c r="R92" i="62"/>
  <c r="T92" i="62"/>
  <c r="S92" i="62"/>
  <c r="R90" i="62"/>
  <c r="T90" i="62"/>
  <c r="R88" i="62"/>
  <c r="T88" i="62"/>
  <c r="L80" i="62"/>
  <c r="S88" i="62"/>
  <c r="R110" i="62"/>
  <c r="S110" i="62"/>
  <c r="T110" i="62"/>
  <c r="R159" i="62"/>
  <c r="S159" i="62"/>
  <c r="R157" i="62"/>
  <c r="S157" i="62"/>
  <c r="T157" i="62"/>
  <c r="R246" i="62"/>
  <c r="T246" i="62"/>
  <c r="S246" i="62"/>
  <c r="R244" i="62"/>
  <c r="T244" i="62"/>
  <c r="R242" i="62"/>
  <c r="T242" i="62"/>
  <c r="S242" i="62"/>
  <c r="R240" i="62"/>
  <c r="T240" i="62"/>
  <c r="R238" i="62"/>
  <c r="T238" i="62"/>
  <c r="L230" i="62"/>
  <c r="S238" i="62"/>
  <c r="R78" i="63"/>
  <c r="T78" i="63"/>
  <c r="S78" i="63"/>
  <c r="R76" i="63"/>
  <c r="T76" i="63"/>
  <c r="R74" i="63"/>
  <c r="T74" i="63"/>
  <c r="S74" i="63"/>
  <c r="R72" i="63"/>
  <c r="T72" i="63"/>
  <c r="R70" i="63"/>
  <c r="T70" i="63"/>
  <c r="L62" i="63"/>
  <c r="S70" i="63"/>
  <c r="R128" i="63"/>
  <c r="T128" i="63"/>
  <c r="S128" i="63"/>
  <c r="R126" i="63"/>
  <c r="T126" i="63"/>
  <c r="R124" i="63"/>
  <c r="T124" i="63"/>
  <c r="S124" i="63"/>
  <c r="R122" i="63"/>
  <c r="T122" i="63"/>
  <c r="R120" i="63"/>
  <c r="T120" i="63"/>
  <c r="L112" i="63"/>
  <c r="S120" i="63"/>
  <c r="S22" i="64"/>
  <c r="R22" i="61"/>
  <c r="T22" i="61"/>
  <c r="Q42" i="60"/>
  <c r="O42" i="60" s="1"/>
  <c r="L16" i="62"/>
  <c r="F15" i="25" s="1"/>
  <c r="F13" i="25" s="1"/>
  <c r="N16" i="55"/>
  <c r="L12" i="55"/>
  <c r="Q14" i="55"/>
  <c r="R24" i="55"/>
  <c r="R22" i="55" s="1"/>
  <c r="R15" i="25"/>
  <c r="R13" i="25" s="1"/>
  <c r="Q14" i="62"/>
  <c r="T32" i="63"/>
  <c r="T28" i="63"/>
  <c r="T36" i="63"/>
  <c r="S36" i="63"/>
  <c r="S32" i="63"/>
  <c r="S28" i="63"/>
  <c r="N162" i="60"/>
  <c r="D12" i="60"/>
  <c r="O12" i="60" s="1"/>
  <c r="R34" i="63"/>
  <c r="R30" i="63"/>
  <c r="R26" i="63"/>
  <c r="L266" i="63"/>
  <c r="Q14" i="60"/>
  <c r="H38" i="25"/>
  <c r="J29" i="25"/>
  <c r="L15" i="25"/>
  <c r="L13" i="25" s="1"/>
  <c r="L278" i="63"/>
  <c r="L262" i="62"/>
  <c r="L264" i="62"/>
  <c r="L266" i="62"/>
  <c r="L269" i="62"/>
  <c r="L271" i="62"/>
  <c r="L273" i="62"/>
  <c r="L275" i="62"/>
  <c r="L277" i="62"/>
  <c r="L279" i="62"/>
  <c r="L281" i="62"/>
  <c r="L283" i="62"/>
  <c r="L285" i="62"/>
  <c r="L263" i="61"/>
  <c r="L265" i="61"/>
  <c r="L267" i="61"/>
  <c r="L269" i="61"/>
  <c r="L271" i="61"/>
  <c r="L273" i="61"/>
  <c r="L275" i="61"/>
  <c r="L277" i="61"/>
  <c r="L279" i="61"/>
  <c r="L281" i="61"/>
  <c r="L262" i="60"/>
  <c r="L265" i="60"/>
  <c r="L268" i="60"/>
  <c r="L270" i="60"/>
  <c r="L272" i="60"/>
  <c r="L274" i="60"/>
  <c r="L276" i="60"/>
  <c r="L278" i="60"/>
  <c r="L280" i="60"/>
  <c r="L262" i="59"/>
  <c r="L264" i="59"/>
  <c r="L266" i="59"/>
  <c r="L268" i="59"/>
  <c r="L271" i="59"/>
  <c r="L274" i="59"/>
  <c r="L276" i="59"/>
  <c r="L278" i="59"/>
  <c r="L280" i="59"/>
  <c r="L282" i="59"/>
  <c r="L284" i="59"/>
  <c r="L285" i="59"/>
  <c r="L263" i="64"/>
  <c r="L265" i="64"/>
  <c r="L267" i="64"/>
  <c r="L269" i="64"/>
  <c r="L271" i="64"/>
  <c r="L273" i="64"/>
  <c r="L275" i="64"/>
  <c r="L277" i="64"/>
  <c r="L279" i="64"/>
  <c r="L281" i="64"/>
  <c r="L283" i="64"/>
  <c r="L262" i="58"/>
  <c r="L264" i="58"/>
  <c r="L267" i="58"/>
  <c r="L269" i="58"/>
  <c r="L271" i="58"/>
  <c r="L273" i="58"/>
  <c r="L275" i="58"/>
  <c r="L278" i="58"/>
  <c r="L280" i="58"/>
  <c r="L282" i="58"/>
  <c r="L284" i="58"/>
  <c r="L285" i="58"/>
  <c r="L263" i="55"/>
  <c r="L265" i="55"/>
  <c r="L267" i="55"/>
  <c r="L273" i="55"/>
  <c r="L277" i="55"/>
  <c r="L281" i="55"/>
  <c r="L285" i="55"/>
  <c r="T171" i="60"/>
  <c r="L192" i="60"/>
  <c r="T238" i="60"/>
  <c r="S60" i="61"/>
  <c r="S56" i="61"/>
  <c r="S52" i="61"/>
  <c r="S96" i="61"/>
  <c r="S92" i="61"/>
  <c r="S88" i="61"/>
  <c r="L80" i="61"/>
  <c r="S160" i="61"/>
  <c r="S156" i="61"/>
  <c r="L148" i="61"/>
  <c r="L174" i="61"/>
  <c r="R176" i="61" s="1"/>
  <c r="T217" i="61"/>
  <c r="S217" i="61"/>
  <c r="T245" i="61"/>
  <c r="T241" i="61"/>
  <c r="T237" i="61"/>
  <c r="T59" i="62"/>
  <c r="T55" i="62"/>
  <c r="T51" i="62"/>
  <c r="T140" i="62"/>
  <c r="T169" i="62"/>
  <c r="R95" i="62"/>
  <c r="S95" i="62"/>
  <c r="R93" i="62"/>
  <c r="S93" i="62"/>
  <c r="R91" i="62"/>
  <c r="S91" i="62"/>
  <c r="R89" i="62"/>
  <c r="S89" i="62"/>
  <c r="R87" i="62"/>
  <c r="S87" i="62"/>
  <c r="R139" i="62"/>
  <c r="T139" i="62"/>
  <c r="R137" i="62"/>
  <c r="L130" i="62"/>
  <c r="T137" i="62"/>
  <c r="R160" i="62"/>
  <c r="T160" i="62"/>
  <c r="R158" i="62"/>
  <c r="T158" i="62"/>
  <c r="R156" i="62"/>
  <c r="T156" i="62"/>
  <c r="R172" i="62"/>
  <c r="T172" i="62"/>
  <c r="R170" i="62"/>
  <c r="T170" i="62"/>
  <c r="R245" i="62"/>
  <c r="S245" i="62"/>
  <c r="R243" i="62"/>
  <c r="S243" i="62"/>
  <c r="R241" i="62"/>
  <c r="S241" i="62"/>
  <c r="R239" i="62"/>
  <c r="S239" i="62"/>
  <c r="R237" i="62"/>
  <c r="S237" i="62"/>
  <c r="R77" i="63"/>
  <c r="S77" i="63"/>
  <c r="R75" i="63"/>
  <c r="S75" i="63"/>
  <c r="R73" i="63"/>
  <c r="S73" i="63"/>
  <c r="R71" i="63"/>
  <c r="S71" i="63"/>
  <c r="R69" i="63"/>
  <c r="S69" i="63"/>
  <c r="R127" i="63"/>
  <c r="S127" i="63"/>
  <c r="R125" i="63"/>
  <c r="S125" i="63"/>
  <c r="R123" i="63"/>
  <c r="S123" i="63"/>
  <c r="R121" i="63"/>
  <c r="S121" i="63"/>
  <c r="R119" i="63"/>
  <c r="S119" i="63"/>
  <c r="R189" i="63"/>
  <c r="S189" i="63"/>
  <c r="R257" i="63"/>
  <c r="S257" i="63"/>
  <c r="R255" i="63"/>
  <c r="S255" i="63"/>
  <c r="L101" i="61"/>
  <c r="R103" i="61" s="1"/>
  <c r="R180" i="62"/>
  <c r="R22" i="64"/>
  <c r="T22" i="64"/>
  <c r="S22" i="61"/>
  <c r="L16" i="61"/>
  <c r="L16" i="64"/>
  <c r="R206" i="63"/>
  <c r="C73" i="40"/>
  <c r="I73" i="40" s="1"/>
  <c r="B73" i="40" s="1"/>
  <c r="C25" i="40"/>
  <c r="I25" i="40" s="1"/>
  <c r="B25" i="40" s="1"/>
  <c r="C95" i="40"/>
  <c r="L95" i="40" s="1"/>
  <c r="C69" i="40"/>
  <c r="L91" i="40"/>
  <c r="R206" i="61"/>
  <c r="Q206" i="61"/>
  <c r="C65" i="40"/>
  <c r="I65" i="40" s="1"/>
  <c r="B65" i="40" s="1"/>
  <c r="C97" i="40"/>
  <c r="C87" i="40"/>
  <c r="C85" i="40"/>
  <c r="O36" i="29"/>
  <c r="O35" i="29" s="1"/>
  <c r="O16" i="29"/>
  <c r="O15" i="29" s="1"/>
  <c r="T141" i="62"/>
  <c r="S141" i="62"/>
  <c r="T258" i="60"/>
  <c r="S257" i="60"/>
  <c r="R258" i="60"/>
  <c r="T257" i="60"/>
  <c r="L248" i="60"/>
  <c r="J39" i="25" s="1"/>
  <c r="S256" i="60"/>
  <c r="R256" i="60"/>
  <c r="T256" i="60"/>
  <c r="R255" i="60"/>
  <c r="T255" i="60"/>
  <c r="L285" i="60"/>
  <c r="L284" i="60"/>
  <c r="L283" i="60"/>
  <c r="L282" i="60"/>
  <c r="R232" i="60"/>
  <c r="S236" i="60" s="1"/>
  <c r="R238" i="60"/>
  <c r="R237" i="60"/>
  <c r="T237" i="60"/>
  <c r="T120" i="60"/>
  <c r="S120" i="60"/>
  <c r="R120" i="60"/>
  <c r="R119" i="60"/>
  <c r="T119" i="60"/>
  <c r="C83" i="40"/>
  <c r="C19" i="40"/>
  <c r="I19" i="40" s="1"/>
  <c r="M19" i="40" s="1"/>
  <c r="J19" i="40" s="1"/>
  <c r="D11" i="25"/>
  <c r="T11" i="25" s="1"/>
  <c r="L112" i="62"/>
  <c r="T119" i="62"/>
  <c r="R119" i="62"/>
  <c r="L101" i="62"/>
  <c r="R109" i="62"/>
  <c r="T109" i="62"/>
  <c r="I81" i="40"/>
  <c r="M81" i="40" s="1"/>
  <c r="J81" i="40" s="1"/>
  <c r="L274" i="63"/>
  <c r="K7" i="67"/>
  <c r="O6" i="29"/>
  <c r="T215" i="61"/>
  <c r="S215" i="61"/>
  <c r="L77" i="40"/>
  <c r="O9" i="29"/>
  <c r="K9" i="67"/>
  <c r="A94" i="34"/>
  <c r="B94" i="34" s="1"/>
  <c r="C23" i="40"/>
  <c r="I23" i="40" s="1"/>
  <c r="C75" i="40"/>
  <c r="C93" i="40"/>
  <c r="L93" i="40" s="1"/>
  <c r="C17" i="40"/>
  <c r="C99" i="40"/>
  <c r="I99" i="40" s="1"/>
  <c r="Q228" i="58"/>
  <c r="C21" i="40"/>
  <c r="T186" i="63"/>
  <c r="S186" i="63"/>
  <c r="L174" i="63"/>
  <c r="S188" i="63"/>
  <c r="S187" i="63"/>
  <c r="L148" i="63"/>
  <c r="L262" i="63"/>
  <c r="S155" i="63"/>
  <c r="S199" i="62"/>
  <c r="R199" i="62"/>
  <c r="L192" i="62"/>
  <c r="I39" i="21"/>
  <c r="S10" i="27" s="1"/>
  <c r="T10" i="27" s="1"/>
  <c r="X39" i="21"/>
  <c r="L162" i="63"/>
  <c r="N14" i="63"/>
  <c r="D14" i="25"/>
  <c r="T14" i="25" s="1"/>
  <c r="Q14" i="63"/>
  <c r="L282" i="63"/>
  <c r="L272" i="63"/>
  <c r="L284" i="63"/>
  <c r="L276" i="63"/>
  <c r="L268" i="63"/>
  <c r="L264" i="63"/>
  <c r="L285" i="63"/>
  <c r="L281" i="63"/>
  <c r="L277" i="63"/>
  <c r="L273" i="63"/>
  <c r="L269" i="63"/>
  <c r="L265" i="63"/>
  <c r="L275" i="63"/>
  <c r="L280" i="63"/>
  <c r="L270" i="63"/>
  <c r="L279" i="63"/>
  <c r="L271" i="63"/>
  <c r="L267" i="63"/>
  <c r="L263" i="63"/>
  <c r="R24" i="62"/>
  <c r="R22" i="62" s="1"/>
  <c r="S22" i="62"/>
  <c r="T24" i="62"/>
  <c r="T22" i="62" s="1"/>
  <c r="L148" i="62"/>
  <c r="T155" i="62"/>
  <c r="S155" i="62"/>
  <c r="R18" i="62"/>
  <c r="D12" i="62"/>
  <c r="O12" i="62" s="1"/>
  <c r="L12" i="62"/>
  <c r="L40" i="62" s="1"/>
  <c r="F17" i="25" s="1"/>
  <c r="L208" i="61"/>
  <c r="L285" i="61"/>
  <c r="L283" i="61"/>
  <c r="L282" i="61"/>
  <c r="L284" i="61"/>
  <c r="T182" i="61"/>
  <c r="S182" i="61"/>
  <c r="R182" i="61"/>
  <c r="L112" i="61"/>
  <c r="T119" i="61"/>
  <c r="R119" i="61"/>
  <c r="S219" i="61"/>
  <c r="T219" i="61"/>
  <c r="H25" i="25"/>
  <c r="T108" i="61"/>
  <c r="S108" i="61"/>
  <c r="R108" i="61"/>
  <c r="L206" i="55"/>
  <c r="R35" i="25"/>
  <c r="N226" i="55"/>
  <c r="D91" i="40"/>
  <c r="I93" i="40"/>
  <c r="Q228" i="63"/>
  <c r="Y2" i="21"/>
  <c r="K2" i="67" s="1"/>
  <c r="Q228" i="55"/>
  <c r="H9" i="25"/>
  <c r="L206" i="58"/>
  <c r="A104" i="34"/>
  <c r="B104" i="34" s="1"/>
  <c r="Y5" i="21"/>
  <c r="A99" i="34"/>
  <c r="B99" i="34" s="1"/>
  <c r="R9" i="25"/>
  <c r="Y4" i="21"/>
  <c r="O4" i="29" s="1"/>
  <c r="I95" i="40"/>
  <c r="B95" i="40" s="1"/>
  <c r="A89" i="34"/>
  <c r="B89" i="34" s="1"/>
  <c r="D19" i="40"/>
  <c r="A25" i="40"/>
  <c r="O3" i="29"/>
  <c r="K3" i="67"/>
  <c r="M71" i="40"/>
  <c r="J71" i="40" s="1"/>
  <c r="I79" i="40"/>
  <c r="Q228" i="62"/>
  <c r="Q206" i="62"/>
  <c r="D73" i="40"/>
  <c r="J9" i="25"/>
  <c r="D1" i="60"/>
  <c r="L226" i="60" s="1"/>
  <c r="M65" i="40"/>
  <c r="J65" i="40" s="1"/>
  <c r="B67" i="40"/>
  <c r="L206" i="64"/>
  <c r="N35" i="25"/>
  <c r="N226" i="64"/>
  <c r="L71" i="40"/>
  <c r="B71" i="40"/>
  <c r="R206" i="62"/>
  <c r="L73" i="40"/>
  <c r="O8" i="29"/>
  <c r="L206" i="62"/>
  <c r="F35" i="25"/>
  <c r="L35" i="25"/>
  <c r="N226" i="59"/>
  <c r="D10" i="40"/>
  <c r="D9" i="25"/>
  <c r="D1" i="63"/>
  <c r="L226" i="63" s="1"/>
  <c r="R206" i="60"/>
  <c r="Q228" i="60"/>
  <c r="Q206" i="60"/>
  <c r="R206" i="64"/>
  <c r="Q228" i="64"/>
  <c r="Q206" i="64"/>
  <c r="H35" i="25"/>
  <c r="L206" i="61"/>
  <c r="A58" i="26"/>
  <c r="M91" i="40"/>
  <c r="J91" i="40" s="1"/>
  <c r="D11" i="27"/>
  <c r="F11" i="27" s="1"/>
  <c r="T155" i="63"/>
  <c r="M73" i="40" l="1"/>
  <c r="J73" i="40" s="1"/>
  <c r="L99" i="61"/>
  <c r="T254" i="62"/>
  <c r="R18" i="63"/>
  <c r="R64" i="61"/>
  <c r="H21" i="25"/>
  <c r="N62" i="61"/>
  <c r="D12" i="59"/>
  <c r="O12" i="59" s="1"/>
  <c r="R18" i="59"/>
  <c r="N16" i="59"/>
  <c r="G77" i="48"/>
  <c r="G78" i="48" s="1"/>
  <c r="G76" i="48" s="1"/>
  <c r="G12" i="56"/>
  <c r="R37" i="25"/>
  <c r="S22" i="59"/>
  <c r="G26" i="56"/>
  <c r="H39" i="46"/>
  <c r="R254" i="62"/>
  <c r="H55" i="22"/>
  <c r="I57" i="22" s="1"/>
  <c r="T154" i="58"/>
  <c r="L12" i="63"/>
  <c r="L40" i="63" s="1"/>
  <c r="D17" i="25" s="1"/>
  <c r="T180" i="62"/>
  <c r="R150" i="64"/>
  <c r="R154" i="64" s="1"/>
  <c r="N28" i="25"/>
  <c r="N148" i="64"/>
  <c r="Q149" i="64" s="1"/>
  <c r="S50" i="62"/>
  <c r="R154" i="58"/>
  <c r="S254" i="62"/>
  <c r="H55" i="45"/>
  <c r="T50" i="59"/>
  <c r="R46" i="59"/>
  <c r="R50" i="59" s="1"/>
  <c r="L20" i="25"/>
  <c r="N44" i="59"/>
  <c r="G17" i="56"/>
  <c r="S236" i="61"/>
  <c r="P27" i="25"/>
  <c r="S254" i="55"/>
  <c r="H39" i="48"/>
  <c r="L22" i="25"/>
  <c r="R103" i="55"/>
  <c r="R25" i="25"/>
  <c r="N101" i="55"/>
  <c r="J30" i="25"/>
  <c r="N174" i="60"/>
  <c r="R176" i="60"/>
  <c r="R180" i="60" s="1"/>
  <c r="R210" i="58"/>
  <c r="R214" i="58" s="1"/>
  <c r="P34" i="25"/>
  <c r="P33" i="25" s="1"/>
  <c r="N208" i="58"/>
  <c r="N112" i="58"/>
  <c r="P26" i="25"/>
  <c r="R114" i="58"/>
  <c r="S118" i="58" s="1"/>
  <c r="S68" i="64"/>
  <c r="R150" i="60"/>
  <c r="S154" i="60" s="1"/>
  <c r="J28" i="25"/>
  <c r="N148" i="60"/>
  <c r="Q149" i="60" s="1"/>
  <c r="M25" i="40"/>
  <c r="J25" i="40" s="1"/>
  <c r="B10" i="40"/>
  <c r="G10" i="56"/>
  <c r="R114" i="60"/>
  <c r="L99" i="60"/>
  <c r="S168" i="60"/>
  <c r="L228" i="58"/>
  <c r="N228" i="58" s="1"/>
  <c r="R254" i="55"/>
  <c r="M10" i="40"/>
  <c r="J10" i="40" s="1"/>
  <c r="I89" i="40"/>
  <c r="M67" i="40"/>
  <c r="J67" i="40" s="1"/>
  <c r="L65" i="40"/>
  <c r="H30" i="25"/>
  <c r="G19" i="56"/>
  <c r="G23" i="56"/>
  <c r="G25" i="56"/>
  <c r="G16" i="56"/>
  <c r="L67" i="40"/>
  <c r="F20" i="25"/>
  <c r="L228" i="63"/>
  <c r="L42" i="64"/>
  <c r="N42" i="64" s="1"/>
  <c r="P38" i="25"/>
  <c r="R132" i="58"/>
  <c r="R136" i="58" s="1"/>
  <c r="R114" i="55"/>
  <c r="S118" i="55" s="1"/>
  <c r="R232" i="63"/>
  <c r="T236" i="63" s="1"/>
  <c r="R107" i="63"/>
  <c r="R82" i="59"/>
  <c r="T86" i="59" s="1"/>
  <c r="R176" i="59"/>
  <c r="S180" i="59" s="1"/>
  <c r="N174" i="59"/>
  <c r="R210" i="64"/>
  <c r="R214" i="64" s="1"/>
  <c r="N34" i="25"/>
  <c r="N33" i="25" s="1"/>
  <c r="N208" i="64"/>
  <c r="R82" i="64"/>
  <c r="R86" i="64" s="1"/>
  <c r="N22" i="25"/>
  <c r="N80" i="64"/>
  <c r="R210" i="55"/>
  <c r="T214" i="55" s="1"/>
  <c r="N208" i="55"/>
  <c r="R34" i="25"/>
  <c r="R33" i="25" s="1"/>
  <c r="R114" i="64"/>
  <c r="R118" i="64" s="1"/>
  <c r="N112" i="64"/>
  <c r="N26" i="25"/>
  <c r="G11" i="56"/>
  <c r="G18" i="56"/>
  <c r="R176" i="64"/>
  <c r="N30" i="25"/>
  <c r="N174" i="64"/>
  <c r="R164" i="62"/>
  <c r="S168" i="62" s="1"/>
  <c r="F29" i="25"/>
  <c r="R194" i="61"/>
  <c r="H31" i="25"/>
  <c r="N192" i="61"/>
  <c r="R164" i="61"/>
  <c r="H29" i="25"/>
  <c r="N162" i="61"/>
  <c r="R82" i="63"/>
  <c r="D22" i="25"/>
  <c r="N80" i="63"/>
  <c r="R210" i="59"/>
  <c r="L34" i="25"/>
  <c r="L33" i="25" s="1"/>
  <c r="N208" i="59"/>
  <c r="R250" i="64"/>
  <c r="N39" i="25"/>
  <c r="N37" i="25" s="1"/>
  <c r="N248" i="64"/>
  <c r="R82" i="58"/>
  <c r="P22" i="25"/>
  <c r="N80" i="58"/>
  <c r="R194" i="59"/>
  <c r="N192" i="59"/>
  <c r="L31" i="25"/>
  <c r="G14" i="56"/>
  <c r="H70" i="22"/>
  <c r="R210" i="62"/>
  <c r="F34" i="25"/>
  <c r="F33" i="25" s="1"/>
  <c r="R250" i="61"/>
  <c r="L228" i="61"/>
  <c r="H39" i="25"/>
  <c r="H37" i="25" s="1"/>
  <c r="N248" i="61"/>
  <c r="R64" i="60"/>
  <c r="N62" i="60"/>
  <c r="J21" i="25"/>
  <c r="R176" i="58"/>
  <c r="P30" i="25"/>
  <c r="N174" i="58"/>
  <c r="R176" i="55"/>
  <c r="R30" i="25"/>
  <c r="N174" i="55"/>
  <c r="D13" i="25"/>
  <c r="R132" i="63"/>
  <c r="S136" i="63" s="1"/>
  <c r="D27" i="25"/>
  <c r="T107" i="63"/>
  <c r="R46" i="58"/>
  <c r="P20" i="25"/>
  <c r="P19" i="25" s="1"/>
  <c r="Q42" i="58"/>
  <c r="O42" i="58" s="1"/>
  <c r="N44" i="58"/>
  <c r="G77" i="47"/>
  <c r="G78" i="47" s="1"/>
  <c r="G76" i="47" s="1"/>
  <c r="H39" i="47"/>
  <c r="L99" i="40"/>
  <c r="B81" i="40"/>
  <c r="L23" i="40"/>
  <c r="R107" i="61"/>
  <c r="T107" i="61"/>
  <c r="S214" i="62"/>
  <c r="S168" i="61"/>
  <c r="H55" i="43"/>
  <c r="I57" i="43" s="1"/>
  <c r="S180" i="62"/>
  <c r="R174" i="62" s="1"/>
  <c r="O174" i="62" s="1"/>
  <c r="R250" i="59"/>
  <c r="L39" i="25"/>
  <c r="N248" i="59"/>
  <c r="S180" i="55"/>
  <c r="R132" i="55"/>
  <c r="S136" i="55" s="1"/>
  <c r="N130" i="55"/>
  <c r="R27" i="25"/>
  <c r="T118" i="60"/>
  <c r="T236" i="60"/>
  <c r="T50" i="62"/>
  <c r="T236" i="61"/>
  <c r="T180" i="61"/>
  <c r="C13" i="42"/>
  <c r="L11" i="42" s="1"/>
  <c r="R64" i="62"/>
  <c r="F21" i="25"/>
  <c r="N62" i="62"/>
  <c r="R103" i="60"/>
  <c r="J25" i="25"/>
  <c r="N101" i="60"/>
  <c r="R150" i="59"/>
  <c r="L28" i="25"/>
  <c r="N148" i="59"/>
  <c r="Q149" i="59" s="1"/>
  <c r="R46" i="64"/>
  <c r="N44" i="64"/>
  <c r="N20" i="25"/>
  <c r="N19" i="25" s="1"/>
  <c r="R132" i="61"/>
  <c r="H27" i="25"/>
  <c r="D34" i="25"/>
  <c r="R210" i="63"/>
  <c r="R22" i="63"/>
  <c r="S22" i="63"/>
  <c r="T22" i="63"/>
  <c r="S198" i="59"/>
  <c r="T107" i="59"/>
  <c r="R107" i="59"/>
  <c r="R22" i="58"/>
  <c r="T22" i="58"/>
  <c r="R22" i="59"/>
  <c r="T22" i="59"/>
  <c r="R22" i="60"/>
  <c r="T22" i="60"/>
  <c r="L228" i="60"/>
  <c r="T68" i="64"/>
  <c r="T236" i="58"/>
  <c r="T136" i="58"/>
  <c r="T68" i="58"/>
  <c r="T236" i="55"/>
  <c r="T136" i="60"/>
  <c r="R236" i="64"/>
  <c r="S168" i="64"/>
  <c r="R136" i="64"/>
  <c r="S236" i="58"/>
  <c r="N12" i="59"/>
  <c r="L40" i="59"/>
  <c r="R210" i="60"/>
  <c r="N208" i="60"/>
  <c r="J34" i="25"/>
  <c r="R114" i="59"/>
  <c r="L26" i="25"/>
  <c r="N112" i="59"/>
  <c r="S154" i="58"/>
  <c r="S50" i="58"/>
  <c r="E21" i="21"/>
  <c r="W12" i="21"/>
  <c r="L19" i="40"/>
  <c r="G24" i="56"/>
  <c r="G20" i="56"/>
  <c r="G22" i="56"/>
  <c r="G29" i="56"/>
  <c r="G13" i="56"/>
  <c r="G27" i="56"/>
  <c r="R16" i="59"/>
  <c r="O16" i="59" s="1"/>
  <c r="D77" i="40"/>
  <c r="M77" i="40"/>
  <c r="J77" i="40" s="1"/>
  <c r="N15" i="25"/>
  <c r="N13" i="25" s="1"/>
  <c r="R18" i="64"/>
  <c r="R16" i="64" s="1"/>
  <c r="O16" i="64" s="1"/>
  <c r="N16" i="64"/>
  <c r="L12" i="64"/>
  <c r="R14" i="64"/>
  <c r="R150" i="61"/>
  <c r="T154" i="61" s="1"/>
  <c r="H28" i="25"/>
  <c r="N148" i="61"/>
  <c r="Q149" i="61" s="1"/>
  <c r="R82" i="61"/>
  <c r="T86" i="61" s="1"/>
  <c r="H22" i="25"/>
  <c r="N80" i="61"/>
  <c r="R194" i="60"/>
  <c r="S198" i="60" s="1"/>
  <c r="J31" i="25"/>
  <c r="N192" i="60"/>
  <c r="R14" i="61"/>
  <c r="R114" i="63"/>
  <c r="R118" i="63" s="1"/>
  <c r="D26" i="25"/>
  <c r="N112" i="63"/>
  <c r="R64" i="63"/>
  <c r="T68" i="63" s="1"/>
  <c r="D21" i="25"/>
  <c r="N62" i="63"/>
  <c r="R232" i="62"/>
  <c r="T236" i="62" s="1"/>
  <c r="L228" i="62"/>
  <c r="F38" i="25"/>
  <c r="F37" i="25" s="1"/>
  <c r="R82" i="62"/>
  <c r="F22" i="25"/>
  <c r="N80" i="62"/>
  <c r="Q42" i="62"/>
  <c r="O42" i="62" s="1"/>
  <c r="R103" i="64"/>
  <c r="L99" i="64"/>
  <c r="N99" i="64" s="1"/>
  <c r="Q99" i="64" s="1"/>
  <c r="N25" i="25"/>
  <c r="N101" i="64"/>
  <c r="R194" i="58"/>
  <c r="R198" i="58" s="1"/>
  <c r="P31" i="25"/>
  <c r="N192" i="58"/>
  <c r="R103" i="58"/>
  <c r="T107" i="58" s="1"/>
  <c r="P25" i="25"/>
  <c r="N101" i="58"/>
  <c r="L99" i="58"/>
  <c r="N99" i="58" s="1"/>
  <c r="Q99" i="58" s="1"/>
  <c r="R194" i="55"/>
  <c r="T198" i="55" s="1"/>
  <c r="R31" i="25"/>
  <c r="N192" i="55"/>
  <c r="R46" i="55"/>
  <c r="R50" i="55" s="1"/>
  <c r="N44" i="55"/>
  <c r="L42" i="55"/>
  <c r="N42" i="55" s="1"/>
  <c r="R20" i="25"/>
  <c r="Q42" i="55"/>
  <c r="O42" i="55" s="1"/>
  <c r="R82" i="60"/>
  <c r="T86" i="60" s="1"/>
  <c r="J22" i="25"/>
  <c r="N80" i="60"/>
  <c r="R46" i="60"/>
  <c r="T50" i="60" s="1"/>
  <c r="J20" i="25"/>
  <c r="R232" i="59"/>
  <c r="T236" i="59" s="1"/>
  <c r="N230" i="59"/>
  <c r="L228" i="59"/>
  <c r="N228" i="59" s="1"/>
  <c r="L38" i="25"/>
  <c r="L37" i="25" s="1"/>
  <c r="R194" i="64"/>
  <c r="N31" i="25"/>
  <c r="N192" i="64"/>
  <c r="D20" i="25"/>
  <c r="R46" i="63"/>
  <c r="S50" i="63" s="1"/>
  <c r="K11" i="42"/>
  <c r="R18" i="61"/>
  <c r="R16" i="61" s="1"/>
  <c r="O16" i="61" s="1"/>
  <c r="D12" i="61"/>
  <c r="O12" i="61" s="1"/>
  <c r="L12" i="61"/>
  <c r="L40" i="61" s="1"/>
  <c r="H17" i="25" s="1"/>
  <c r="H15" i="25"/>
  <c r="H13" i="25" s="1"/>
  <c r="R132" i="62"/>
  <c r="R136" i="62" s="1"/>
  <c r="F27" i="25"/>
  <c r="R14" i="55"/>
  <c r="R16" i="55"/>
  <c r="O16" i="55" s="1"/>
  <c r="L40" i="55"/>
  <c r="N12" i="55"/>
  <c r="R18" i="58"/>
  <c r="L12" i="58"/>
  <c r="P15" i="25"/>
  <c r="P13" i="25" s="1"/>
  <c r="N16" i="58"/>
  <c r="D12" i="58"/>
  <c r="O12" i="58" s="1"/>
  <c r="R18" i="60"/>
  <c r="L12" i="60"/>
  <c r="L40" i="60" s="1"/>
  <c r="J17" i="25" s="1"/>
  <c r="J15" i="25"/>
  <c r="J13" i="25" s="1"/>
  <c r="R250" i="63"/>
  <c r="S254" i="63" s="1"/>
  <c r="D39" i="25"/>
  <c r="D37" i="25" s="1"/>
  <c r="N248" i="63"/>
  <c r="R82" i="55"/>
  <c r="T86" i="55" s="1"/>
  <c r="N80" i="55"/>
  <c r="R22" i="25"/>
  <c r="D31" i="25"/>
  <c r="R194" i="63"/>
  <c r="R198" i="63" s="1"/>
  <c r="L10" i="67"/>
  <c r="O10" i="67"/>
  <c r="M10" i="67"/>
  <c r="N10" i="67"/>
  <c r="R46" i="61"/>
  <c r="T50" i="61" s="1"/>
  <c r="L42" i="61"/>
  <c r="H20" i="25"/>
  <c r="Q42" i="61"/>
  <c r="O42" i="61" s="1"/>
  <c r="R164" i="59"/>
  <c r="S168" i="59" s="1"/>
  <c r="L29" i="25"/>
  <c r="N162" i="59"/>
  <c r="R132" i="59"/>
  <c r="T136" i="59" s="1"/>
  <c r="L27" i="25"/>
  <c r="N130" i="59"/>
  <c r="R64" i="59"/>
  <c r="T68" i="59" s="1"/>
  <c r="Q42" i="59"/>
  <c r="O42" i="59" s="1"/>
  <c r="L42" i="59"/>
  <c r="N42" i="59" s="1"/>
  <c r="L21" i="25"/>
  <c r="L19" i="25" s="1"/>
  <c r="N62" i="59"/>
  <c r="P39" i="25"/>
  <c r="N248" i="58"/>
  <c r="R250" i="58"/>
  <c r="R254" i="58" s="1"/>
  <c r="G77" i="45"/>
  <c r="G78" i="45" s="1"/>
  <c r="G76" i="45" s="1"/>
  <c r="H39" i="45"/>
  <c r="S136" i="62"/>
  <c r="S68" i="63"/>
  <c r="R86" i="62"/>
  <c r="R236" i="59"/>
  <c r="T168" i="64"/>
  <c r="L42" i="62"/>
  <c r="T154" i="55"/>
  <c r="T68" i="55"/>
  <c r="G77" i="46"/>
  <c r="G78" i="46" s="1"/>
  <c r="G76" i="46" s="1"/>
  <c r="H70" i="47"/>
  <c r="C13" i="47" s="1"/>
  <c r="H70" i="45"/>
  <c r="R136" i="60"/>
  <c r="T236" i="64"/>
  <c r="S198" i="64"/>
  <c r="T136" i="64"/>
  <c r="S107" i="64"/>
  <c r="R68" i="64"/>
  <c r="T198" i="58"/>
  <c r="R168" i="58"/>
  <c r="R68" i="58"/>
  <c r="R236" i="55"/>
  <c r="R198" i="55"/>
  <c r="R168" i="55"/>
  <c r="R118" i="55"/>
  <c r="S236" i="63"/>
  <c r="H55" i="47"/>
  <c r="L42" i="63"/>
  <c r="B19" i="40"/>
  <c r="D65" i="40"/>
  <c r="D25" i="40"/>
  <c r="A19" i="40"/>
  <c r="L25" i="40"/>
  <c r="R180" i="61"/>
  <c r="G15" i="56"/>
  <c r="G28" i="56"/>
  <c r="G21" i="56"/>
  <c r="Q42" i="63"/>
  <c r="O42" i="63" s="1"/>
  <c r="R68" i="63"/>
  <c r="S86" i="62"/>
  <c r="T168" i="62"/>
  <c r="L42" i="60"/>
  <c r="R248" i="62"/>
  <c r="O248" i="62" s="1"/>
  <c r="T86" i="62"/>
  <c r="S86" i="61"/>
  <c r="T168" i="60"/>
  <c r="S50" i="60"/>
  <c r="S236" i="59"/>
  <c r="T198" i="59"/>
  <c r="R198" i="59"/>
  <c r="R168" i="59"/>
  <c r="R136" i="59"/>
  <c r="S107" i="59"/>
  <c r="S22" i="58"/>
  <c r="S22" i="60"/>
  <c r="R168" i="62"/>
  <c r="R50" i="62"/>
  <c r="R44" i="62" s="1"/>
  <c r="O44" i="62" s="1"/>
  <c r="R236" i="61"/>
  <c r="R198" i="60"/>
  <c r="R168" i="60"/>
  <c r="R148" i="58"/>
  <c r="O148" i="58" s="1"/>
  <c r="T254" i="58"/>
  <c r="H55" i="46"/>
  <c r="D12" i="64"/>
  <c r="O12" i="64" s="1"/>
  <c r="C13" i="22"/>
  <c r="T168" i="58"/>
  <c r="T168" i="55"/>
  <c r="S86" i="55"/>
  <c r="S154" i="55"/>
  <c r="R148" i="55" s="1"/>
  <c r="O148" i="55" s="1"/>
  <c r="S68" i="55"/>
  <c r="T50" i="55"/>
  <c r="H55" i="48"/>
  <c r="H55" i="44"/>
  <c r="I57" i="44" s="1"/>
  <c r="H55" i="42"/>
  <c r="I57" i="42" s="1"/>
  <c r="H70" i="43"/>
  <c r="C13" i="43" s="1"/>
  <c r="S136" i="60"/>
  <c r="S236" i="64"/>
  <c r="T198" i="64"/>
  <c r="R198" i="64"/>
  <c r="R168" i="64"/>
  <c r="S136" i="64"/>
  <c r="R130" i="64" s="1"/>
  <c r="O130" i="64" s="1"/>
  <c r="T107" i="64"/>
  <c r="R107" i="64"/>
  <c r="R236" i="58"/>
  <c r="R230" i="58" s="1"/>
  <c r="O230" i="58" s="1"/>
  <c r="S198" i="58"/>
  <c r="S168" i="58"/>
  <c r="S68" i="58"/>
  <c r="S168" i="55"/>
  <c r="L99" i="55"/>
  <c r="N99" i="55" s="1"/>
  <c r="Q99" i="55" s="1"/>
  <c r="T254" i="55"/>
  <c r="R248" i="55" s="1"/>
  <c r="O248" i="55" s="1"/>
  <c r="H70" i="48"/>
  <c r="C13" i="48" s="1"/>
  <c r="H70" i="46"/>
  <c r="C13" i="46" s="1"/>
  <c r="H70" i="44"/>
  <c r="C13" i="44" s="1"/>
  <c r="I85" i="40"/>
  <c r="L85" i="40"/>
  <c r="I69" i="40"/>
  <c r="L69" i="40"/>
  <c r="L97" i="40"/>
  <c r="I97" i="40"/>
  <c r="L87" i="40"/>
  <c r="I87" i="40"/>
  <c r="T10" i="29"/>
  <c r="K4" i="67"/>
  <c r="G33" i="56"/>
  <c r="R250" i="60"/>
  <c r="R254" i="60" s="1"/>
  <c r="J37" i="25"/>
  <c r="G31" i="56"/>
  <c r="G32" i="56"/>
  <c r="R236" i="60"/>
  <c r="R230" i="60" s="1"/>
  <c r="O230" i="60" s="1"/>
  <c r="S118" i="60"/>
  <c r="R118" i="60"/>
  <c r="I83" i="40"/>
  <c r="L83" i="40"/>
  <c r="R114" i="62"/>
  <c r="S118" i="62" s="1"/>
  <c r="F26" i="25"/>
  <c r="R103" i="62"/>
  <c r="S107" i="62" s="1"/>
  <c r="F25" i="25"/>
  <c r="G30" i="56"/>
  <c r="D81" i="40"/>
  <c r="B77" i="40"/>
  <c r="L21" i="40"/>
  <c r="I21" i="40"/>
  <c r="I17" i="40"/>
  <c r="L17" i="40"/>
  <c r="L75" i="40"/>
  <c r="I75" i="40"/>
  <c r="D99" i="40"/>
  <c r="B99" i="40"/>
  <c r="M99" i="40"/>
  <c r="J99" i="40" s="1"/>
  <c r="O2" i="29"/>
  <c r="L99" i="63"/>
  <c r="R176" i="63"/>
  <c r="S180" i="63" s="1"/>
  <c r="D30" i="25"/>
  <c r="D28" i="25"/>
  <c r="R150" i="63"/>
  <c r="T154" i="63" s="1"/>
  <c r="R194" i="62"/>
  <c r="T198" i="62" s="1"/>
  <c r="F31" i="25"/>
  <c r="Q39" i="21"/>
  <c r="J11" i="27"/>
  <c r="H11" i="27"/>
  <c r="L11" i="27"/>
  <c r="N11" i="27"/>
  <c r="R164" i="63"/>
  <c r="D29" i="25"/>
  <c r="R16" i="62"/>
  <c r="O16" i="62" s="1"/>
  <c r="R150" i="62"/>
  <c r="R154" i="62" s="1"/>
  <c r="L99" i="62"/>
  <c r="F28" i="25"/>
  <c r="R14" i="62"/>
  <c r="R210" i="61"/>
  <c r="R214" i="61" s="1"/>
  <c r="H34" i="25"/>
  <c r="S180" i="61"/>
  <c r="R114" i="61"/>
  <c r="S118" i="61" s="1"/>
  <c r="H26" i="25"/>
  <c r="S107" i="61"/>
  <c r="N206" i="58"/>
  <c r="B93" i="40"/>
  <c r="D93" i="40"/>
  <c r="M93" i="40"/>
  <c r="J93" i="40" s="1"/>
  <c r="O5" i="29"/>
  <c r="K5" i="67"/>
  <c r="D95" i="40"/>
  <c r="M95" i="40"/>
  <c r="J95" i="40" s="1"/>
  <c r="N206" i="55"/>
  <c r="D89" i="40"/>
  <c r="M89" i="40"/>
  <c r="J89" i="40" s="1"/>
  <c r="B89" i="40"/>
  <c r="L206" i="60"/>
  <c r="J35" i="25"/>
  <c r="D23" i="40"/>
  <c r="M23" i="40"/>
  <c r="J23" i="40" s="1"/>
  <c r="A23" i="40"/>
  <c r="B23" i="40"/>
  <c r="L206" i="63"/>
  <c r="D35" i="25"/>
  <c r="N206" i="59"/>
  <c r="N206" i="64"/>
  <c r="D79" i="40"/>
  <c r="B79" i="40"/>
  <c r="M79" i="40"/>
  <c r="J79" i="40" s="1"/>
  <c r="AB27" i="27"/>
  <c r="J33" i="27"/>
  <c r="X23" i="27"/>
  <c r="AD23" i="27"/>
  <c r="V15" i="27"/>
  <c r="V27" i="27"/>
  <c r="AF19" i="27"/>
  <c r="X19" i="27"/>
  <c r="AB25" i="27"/>
  <c r="AD21" i="27"/>
  <c r="V21" i="27"/>
  <c r="Z13" i="27"/>
  <c r="Z19" i="27"/>
  <c r="X27" i="27"/>
  <c r="AF23" i="27"/>
  <c r="H33" i="27"/>
  <c r="X25" i="27"/>
  <c r="AB15" i="27"/>
  <c r="AB21" i="27"/>
  <c r="AF15" i="27"/>
  <c r="V17" i="27"/>
  <c r="V23" i="27"/>
  <c r="AD13" i="27"/>
  <c r="AF27" i="27"/>
  <c r="Z15" i="27"/>
  <c r="AF25" i="27"/>
  <c r="AB13" i="27"/>
  <c r="F33" i="27"/>
  <c r="N33" i="27"/>
  <c r="AF17" i="27"/>
  <c r="AD27" i="27"/>
  <c r="Z21" i="27"/>
  <c r="AB17" i="27"/>
  <c r="AD15" i="27"/>
  <c r="Z27" i="27"/>
  <c r="AB19" i="27"/>
  <c r="X13" i="27"/>
  <c r="AF13" i="27"/>
  <c r="AB23" i="27"/>
  <c r="AD17" i="27"/>
  <c r="D33" i="27"/>
  <c r="L33" i="27"/>
  <c r="V19" i="27"/>
  <c r="AF21" i="27"/>
  <c r="Z17" i="27"/>
  <c r="V13" i="27"/>
  <c r="AD25" i="27"/>
  <c r="X21" i="27"/>
  <c r="Z25" i="27"/>
  <c r="AD19" i="27"/>
  <c r="Z23" i="27"/>
  <c r="V25" i="27"/>
  <c r="X17" i="27"/>
  <c r="X15" i="27"/>
  <c r="R236" i="63" l="1"/>
  <c r="R230" i="63" s="1"/>
  <c r="O230" i="63" s="1"/>
  <c r="L8" i="59"/>
  <c r="R14" i="58"/>
  <c r="S86" i="60"/>
  <c r="S50" i="61"/>
  <c r="P37" i="25"/>
  <c r="K51" i="21"/>
  <c r="R101" i="63"/>
  <c r="O101" i="63" s="1"/>
  <c r="T118" i="55"/>
  <c r="S68" i="61"/>
  <c r="R68" i="61"/>
  <c r="R62" i="61" s="1"/>
  <c r="O62" i="61" s="1"/>
  <c r="T68" i="61"/>
  <c r="S50" i="59"/>
  <c r="R44" i="59" s="1"/>
  <c r="O44" i="59" s="1"/>
  <c r="R230" i="61"/>
  <c r="O230" i="61" s="1"/>
  <c r="R86" i="55"/>
  <c r="T118" i="58"/>
  <c r="S154" i="64"/>
  <c r="S198" i="62"/>
  <c r="T154" i="64"/>
  <c r="T180" i="59"/>
  <c r="R118" i="58"/>
  <c r="R214" i="55"/>
  <c r="L8" i="62"/>
  <c r="L8" i="61"/>
  <c r="N206" i="61" s="1"/>
  <c r="R101" i="61"/>
  <c r="O101" i="61" s="1"/>
  <c r="T30" i="25"/>
  <c r="J33" i="25"/>
  <c r="T118" i="61"/>
  <c r="T34" i="25"/>
  <c r="R230" i="64"/>
  <c r="O230" i="64" s="1"/>
  <c r="T136" i="62"/>
  <c r="R130" i="62" s="1"/>
  <c r="O130" i="62" s="1"/>
  <c r="R154" i="61"/>
  <c r="S118" i="63"/>
  <c r="R14" i="59"/>
  <c r="R16" i="63"/>
  <c r="O16" i="63" s="1"/>
  <c r="R180" i="64"/>
  <c r="S180" i="64"/>
  <c r="T214" i="64"/>
  <c r="R180" i="59"/>
  <c r="R174" i="59" s="1"/>
  <c r="O174" i="59" s="1"/>
  <c r="S214" i="55"/>
  <c r="R208" i="55" s="1"/>
  <c r="O208" i="55" s="1"/>
  <c r="R86" i="59"/>
  <c r="S118" i="64"/>
  <c r="S136" i="58"/>
  <c r="R50" i="61"/>
  <c r="R254" i="63"/>
  <c r="R112" i="55"/>
  <c r="T254" i="63"/>
  <c r="S236" i="62"/>
  <c r="J24" i="25"/>
  <c r="T154" i="60"/>
  <c r="R154" i="60"/>
  <c r="T180" i="60"/>
  <c r="S180" i="60"/>
  <c r="S214" i="64"/>
  <c r="R208" i="64" s="1"/>
  <c r="O208" i="64" s="1"/>
  <c r="S86" i="59"/>
  <c r="T180" i="64"/>
  <c r="S214" i="58"/>
  <c r="T214" i="58"/>
  <c r="T25" i="25"/>
  <c r="T168" i="59"/>
  <c r="S86" i="64"/>
  <c r="T86" i="64"/>
  <c r="S107" i="55"/>
  <c r="R107" i="55"/>
  <c r="R112" i="58"/>
  <c r="O112" i="58" s="1"/>
  <c r="T107" i="55"/>
  <c r="T118" i="64"/>
  <c r="R174" i="61"/>
  <c r="O174" i="61" s="1"/>
  <c r="T180" i="58"/>
  <c r="S180" i="58"/>
  <c r="R180" i="58"/>
  <c r="S254" i="64"/>
  <c r="T254" i="64"/>
  <c r="R254" i="64"/>
  <c r="R86" i="63"/>
  <c r="T86" i="63"/>
  <c r="T198" i="61"/>
  <c r="R198" i="61"/>
  <c r="S198" i="61"/>
  <c r="T254" i="60"/>
  <c r="R162" i="62"/>
  <c r="O162" i="62" s="1"/>
  <c r="T39" i="25"/>
  <c r="S198" i="55"/>
  <c r="R192" i="55" s="1"/>
  <c r="O192" i="55" s="1"/>
  <c r="R107" i="58"/>
  <c r="R162" i="64"/>
  <c r="O162" i="64" s="1"/>
  <c r="T198" i="60"/>
  <c r="R16" i="60"/>
  <c r="O16" i="60" s="1"/>
  <c r="R101" i="59"/>
  <c r="O101" i="59" s="1"/>
  <c r="S154" i="61"/>
  <c r="R148" i="61" s="1"/>
  <c r="O148" i="61" s="1"/>
  <c r="R230" i="55"/>
  <c r="O230" i="55" s="1"/>
  <c r="S107" i="58"/>
  <c r="C13" i="45"/>
  <c r="L11" i="45" s="1"/>
  <c r="S136" i="59"/>
  <c r="R86" i="60"/>
  <c r="R80" i="60" s="1"/>
  <c r="O80" i="60" s="1"/>
  <c r="H19" i="25"/>
  <c r="G13" i="26"/>
  <c r="R24" i="25"/>
  <c r="S86" i="63"/>
  <c r="R180" i="55"/>
  <c r="T180" i="55"/>
  <c r="S68" i="60"/>
  <c r="R68" i="60"/>
  <c r="T68" i="60"/>
  <c r="T254" i="61"/>
  <c r="S254" i="61"/>
  <c r="R254" i="61"/>
  <c r="R214" i="62"/>
  <c r="T214" i="62"/>
  <c r="S86" i="58"/>
  <c r="T86" i="58"/>
  <c r="R86" i="58"/>
  <c r="S214" i="59"/>
  <c r="R214" i="59"/>
  <c r="T214" i="59"/>
  <c r="R168" i="61"/>
  <c r="T168" i="61"/>
  <c r="T136" i="63"/>
  <c r="R136" i="63"/>
  <c r="R130" i="63" s="1"/>
  <c r="O130" i="63" s="1"/>
  <c r="R50" i="63"/>
  <c r="R14" i="63"/>
  <c r="R136" i="55"/>
  <c r="T136" i="55"/>
  <c r="R254" i="59"/>
  <c r="T254" i="59"/>
  <c r="S254" i="59"/>
  <c r="R101" i="64"/>
  <c r="O101" i="64" s="1"/>
  <c r="R192" i="64"/>
  <c r="O192" i="64" s="1"/>
  <c r="R44" i="61"/>
  <c r="O44" i="61" s="1"/>
  <c r="R62" i="55"/>
  <c r="R162" i="60"/>
  <c r="O162" i="60" s="1"/>
  <c r="R68" i="59"/>
  <c r="R130" i="59"/>
  <c r="O130" i="59" s="1"/>
  <c r="R192" i="59"/>
  <c r="O192" i="59" s="1"/>
  <c r="R62" i="63"/>
  <c r="O62" i="63" s="1"/>
  <c r="T50" i="63"/>
  <c r="R44" i="63" s="1"/>
  <c r="O44" i="63" s="1"/>
  <c r="R62" i="64"/>
  <c r="O62" i="64" s="1"/>
  <c r="S50" i="55"/>
  <c r="S68" i="59"/>
  <c r="R50" i="60"/>
  <c r="C11" i="42"/>
  <c r="G15" i="42" s="1"/>
  <c r="I13" i="42"/>
  <c r="G51" i="21"/>
  <c r="V51" i="21" s="1"/>
  <c r="W51" i="21" s="1"/>
  <c r="T50" i="58"/>
  <c r="R50" i="58"/>
  <c r="R44" i="55"/>
  <c r="O44" i="55" s="1"/>
  <c r="S118" i="59"/>
  <c r="T118" i="59"/>
  <c r="R118" i="59"/>
  <c r="T214" i="60"/>
  <c r="R214" i="60"/>
  <c r="R214" i="63"/>
  <c r="T214" i="63"/>
  <c r="T50" i="64"/>
  <c r="R50" i="64"/>
  <c r="T107" i="60"/>
  <c r="S107" i="60"/>
  <c r="R107" i="60"/>
  <c r="S214" i="60"/>
  <c r="R118" i="61"/>
  <c r="R16" i="58"/>
  <c r="O16" i="58" s="1"/>
  <c r="L17" i="25"/>
  <c r="N40" i="59"/>
  <c r="S214" i="63"/>
  <c r="S136" i="61"/>
  <c r="R136" i="61"/>
  <c r="T136" i="61"/>
  <c r="S154" i="59"/>
  <c r="R154" i="59"/>
  <c r="T154" i="59"/>
  <c r="R68" i="62"/>
  <c r="T68" i="62"/>
  <c r="S50" i="64"/>
  <c r="S68" i="62"/>
  <c r="T27" i="25"/>
  <c r="J19" i="25"/>
  <c r="O62" i="55"/>
  <c r="Q62" i="55"/>
  <c r="Q44" i="55"/>
  <c r="W13" i="26"/>
  <c r="I13" i="46"/>
  <c r="C11" i="46"/>
  <c r="G59" i="21"/>
  <c r="V59" i="21" s="1"/>
  <c r="W59" i="21" s="1"/>
  <c r="K11" i="46"/>
  <c r="K59" i="21"/>
  <c r="L11" i="46"/>
  <c r="Q112" i="55"/>
  <c r="O112" i="55"/>
  <c r="S13" i="26"/>
  <c r="L40" i="58"/>
  <c r="L8" i="58" s="1"/>
  <c r="N12" i="58"/>
  <c r="G11" i="26"/>
  <c r="T20" i="25"/>
  <c r="D19" i="25"/>
  <c r="F19" i="25"/>
  <c r="T22" i="25"/>
  <c r="L40" i="64"/>
  <c r="N12" i="64"/>
  <c r="K55" i="21"/>
  <c r="I13" i="44"/>
  <c r="K11" i="44"/>
  <c r="L11" i="44"/>
  <c r="O13" i="26"/>
  <c r="G55" i="21"/>
  <c r="V55" i="21" s="1"/>
  <c r="W55" i="21" s="1"/>
  <c r="C11" i="44"/>
  <c r="C11" i="48"/>
  <c r="G63" i="21"/>
  <c r="V63" i="21" s="1"/>
  <c r="W63" i="21" s="1"/>
  <c r="I13" i="48"/>
  <c r="L11" i="48"/>
  <c r="K11" i="48"/>
  <c r="K63" i="21"/>
  <c r="AE13" i="26"/>
  <c r="G53" i="21"/>
  <c r="V53" i="21" s="1"/>
  <c r="W53" i="21" s="1"/>
  <c r="K53" i="21"/>
  <c r="K13" i="26"/>
  <c r="L11" i="43"/>
  <c r="K11" i="43"/>
  <c r="C11" i="43"/>
  <c r="I13" i="43"/>
  <c r="G48" i="21"/>
  <c r="W48" i="21" s="1"/>
  <c r="L11" i="22"/>
  <c r="K11" i="22"/>
  <c r="I13" i="22"/>
  <c r="C13" i="26"/>
  <c r="K48" i="21"/>
  <c r="C11" i="22"/>
  <c r="AA13" i="26"/>
  <c r="L11" i="47"/>
  <c r="C11" i="47"/>
  <c r="K11" i="47"/>
  <c r="I13" i="47"/>
  <c r="K61" i="21"/>
  <c r="G61" i="21"/>
  <c r="V61" i="21" s="1"/>
  <c r="W61" i="21" s="1"/>
  <c r="R17" i="25"/>
  <c r="N40" i="55"/>
  <c r="Q40" i="55" s="1"/>
  <c r="R101" i="58"/>
  <c r="O101" i="58" s="1"/>
  <c r="R162" i="58"/>
  <c r="O162" i="58" s="1"/>
  <c r="R80" i="55"/>
  <c r="R230" i="59"/>
  <c r="O230" i="59" s="1"/>
  <c r="R19" i="25"/>
  <c r="R14" i="60"/>
  <c r="T21" i="25"/>
  <c r="T118" i="63"/>
  <c r="S198" i="63"/>
  <c r="L8" i="63"/>
  <c r="N174" i="63" s="1"/>
  <c r="L8" i="55"/>
  <c r="R27" i="27" s="1"/>
  <c r="S27" i="27" s="1"/>
  <c r="T15" i="25"/>
  <c r="T13" i="25" s="1"/>
  <c r="T31" i="25"/>
  <c r="R112" i="60"/>
  <c r="O112" i="60" s="1"/>
  <c r="R192" i="60"/>
  <c r="O192" i="60" s="1"/>
  <c r="R162" i="59"/>
  <c r="O162" i="59" s="1"/>
  <c r="R236" i="62"/>
  <c r="R230" i="62" s="1"/>
  <c r="O230" i="62" s="1"/>
  <c r="T198" i="63"/>
  <c r="R162" i="55"/>
  <c r="O162" i="55" s="1"/>
  <c r="R62" i="58"/>
  <c r="O62" i="58" s="1"/>
  <c r="R130" i="58"/>
  <c r="O130" i="58" s="1"/>
  <c r="R192" i="58"/>
  <c r="O192" i="58" s="1"/>
  <c r="R130" i="60"/>
  <c r="O130" i="60" s="1"/>
  <c r="R44" i="60"/>
  <c r="O44" i="60" s="1"/>
  <c r="R86" i="61"/>
  <c r="R80" i="61" s="1"/>
  <c r="O80" i="61" s="1"/>
  <c r="R80" i="62"/>
  <c r="O80" i="62" s="1"/>
  <c r="T38" i="25"/>
  <c r="T37" i="25" s="1"/>
  <c r="L24" i="25"/>
  <c r="L41" i="25" s="1"/>
  <c r="S27" i="26" s="1"/>
  <c r="P24" i="25"/>
  <c r="N24" i="25"/>
  <c r="S254" i="58"/>
  <c r="R248" i="58" s="1"/>
  <c r="O248" i="58" s="1"/>
  <c r="D87" i="40"/>
  <c r="B87" i="40"/>
  <c r="M87" i="40"/>
  <c r="J87" i="40" s="1"/>
  <c r="B85" i="40"/>
  <c r="M85" i="40"/>
  <c r="J85" i="40" s="1"/>
  <c r="D85" i="40"/>
  <c r="L64" i="40"/>
  <c r="K64" i="40" s="1"/>
  <c r="D97" i="40"/>
  <c r="M97" i="40"/>
  <c r="J97" i="40" s="1"/>
  <c r="B97" i="40"/>
  <c r="D69" i="40"/>
  <c r="M69" i="40"/>
  <c r="J69" i="40" s="1"/>
  <c r="B69" i="40"/>
  <c r="S254" i="60"/>
  <c r="M83" i="40"/>
  <c r="J83" i="40" s="1"/>
  <c r="B83" i="40"/>
  <c r="D83" i="40"/>
  <c r="T107" i="62"/>
  <c r="T118" i="62"/>
  <c r="R118" i="62"/>
  <c r="R198" i="62"/>
  <c r="R192" i="62" s="1"/>
  <c r="O192" i="62" s="1"/>
  <c r="S154" i="62"/>
  <c r="R107" i="62"/>
  <c r="T214" i="61"/>
  <c r="S214" i="61"/>
  <c r="B75" i="40"/>
  <c r="M75" i="40"/>
  <c r="J75" i="40" s="1"/>
  <c r="D75" i="40"/>
  <c r="M21" i="40"/>
  <c r="J21" i="40" s="1"/>
  <c r="B21" i="40"/>
  <c r="A21" i="40"/>
  <c r="D21" i="40"/>
  <c r="A17" i="40"/>
  <c r="B17" i="40"/>
  <c r="D17" i="40"/>
  <c r="M17" i="40"/>
  <c r="J17" i="40" s="1"/>
  <c r="N99" i="63"/>
  <c r="Q99" i="63" s="1"/>
  <c r="T180" i="63"/>
  <c r="R180" i="63"/>
  <c r="S154" i="63"/>
  <c r="R154" i="63"/>
  <c r="S168" i="63"/>
  <c r="T168" i="63"/>
  <c r="R168" i="63"/>
  <c r="T29" i="25"/>
  <c r="D24" i="25"/>
  <c r="N226" i="62"/>
  <c r="N206" i="62"/>
  <c r="N99" i="62"/>
  <c r="Q99" i="62" s="1"/>
  <c r="N42" i="62"/>
  <c r="N130" i="62"/>
  <c r="N148" i="62"/>
  <c r="Q149" i="62" s="1"/>
  <c r="N112" i="62"/>
  <c r="N40" i="62"/>
  <c r="R40" i="62" s="1"/>
  <c r="N12" i="62"/>
  <c r="R15" i="27"/>
  <c r="S15" i="27" s="1"/>
  <c r="N8" i="62"/>
  <c r="N230" i="62"/>
  <c r="N162" i="62"/>
  <c r="N101" i="62"/>
  <c r="N16" i="62"/>
  <c r="N228" i="62"/>
  <c r="N192" i="62"/>
  <c r="T28" i="25"/>
  <c r="F24" i="25"/>
  <c r="F41" i="25" s="1"/>
  <c r="G27" i="26" s="1"/>
  <c r="T154" i="62"/>
  <c r="N174" i="62"/>
  <c r="N208" i="62"/>
  <c r="N44" i="62"/>
  <c r="H33" i="25"/>
  <c r="R112" i="61"/>
  <c r="O112" i="61" s="1"/>
  <c r="H24" i="25"/>
  <c r="T26" i="25"/>
  <c r="N99" i="61"/>
  <c r="Q99" i="61" s="1"/>
  <c r="N44" i="61"/>
  <c r="N40" i="61"/>
  <c r="N101" i="61"/>
  <c r="N230" i="61"/>
  <c r="N174" i="61"/>
  <c r="N16" i="61"/>
  <c r="N112" i="61"/>
  <c r="N228" i="61"/>
  <c r="N12" i="61"/>
  <c r="N42" i="61"/>
  <c r="N130" i="61"/>
  <c r="N208" i="61"/>
  <c r="N8" i="61"/>
  <c r="R17" i="27"/>
  <c r="S17" i="27" s="1"/>
  <c r="N226" i="61"/>
  <c r="N42" i="63"/>
  <c r="N8" i="59"/>
  <c r="R21" i="27"/>
  <c r="S21" i="27" s="1"/>
  <c r="T35" i="25"/>
  <c r="D33" i="25"/>
  <c r="L8" i="60"/>
  <c r="N10" i="60" s="1"/>
  <c r="Q10" i="60" s="1"/>
  <c r="B33" i="27"/>
  <c r="N16" i="63" l="1"/>
  <c r="N148" i="63"/>
  <c r="Q149" i="63" s="1"/>
  <c r="N192" i="63"/>
  <c r="N228" i="63"/>
  <c r="N230" i="63"/>
  <c r="N206" i="63"/>
  <c r="R80" i="64"/>
  <c r="O80" i="64" s="1"/>
  <c r="R208" i="58"/>
  <c r="O208" i="58" s="1"/>
  <c r="R174" i="60"/>
  <c r="O174" i="60" s="1"/>
  <c r="J41" i="25"/>
  <c r="O27" i="26" s="1"/>
  <c r="R248" i="63"/>
  <c r="O248" i="63" s="1"/>
  <c r="R80" i="59"/>
  <c r="O80" i="59" s="1"/>
  <c r="R148" i="64"/>
  <c r="O148" i="64" s="1"/>
  <c r="R25" i="27"/>
  <c r="S25" i="27" s="1"/>
  <c r="N8" i="58"/>
  <c r="N8" i="55"/>
  <c r="G42" i="26"/>
  <c r="G51" i="26" s="1"/>
  <c r="I13" i="45"/>
  <c r="R101" i="55"/>
  <c r="R41" i="25"/>
  <c r="AE27" i="26" s="1"/>
  <c r="E51" i="21"/>
  <c r="K57" i="21"/>
  <c r="R248" i="61"/>
  <c r="O248" i="61" s="1"/>
  <c r="R174" i="58"/>
  <c r="O174" i="58" s="1"/>
  <c r="R148" i="60"/>
  <c r="O148" i="60" s="1"/>
  <c r="K11" i="45"/>
  <c r="R112" i="64"/>
  <c r="O112" i="64" s="1"/>
  <c r="Q27" i="26"/>
  <c r="Q44" i="26"/>
  <c r="O44" i="26"/>
  <c r="Q29" i="26"/>
  <c r="T33" i="25"/>
  <c r="R248" i="60"/>
  <c r="O248" i="60" s="1"/>
  <c r="R44" i="58"/>
  <c r="O44" i="58" s="1"/>
  <c r="R112" i="63"/>
  <c r="O112" i="63" s="1"/>
  <c r="R62" i="59"/>
  <c r="O62" i="59" s="1"/>
  <c r="R62" i="60"/>
  <c r="O62" i="60" s="1"/>
  <c r="R174" i="64"/>
  <c r="O174" i="64" s="1"/>
  <c r="R80" i="63"/>
  <c r="O80" i="63" s="1"/>
  <c r="O31" i="26"/>
  <c r="Q31" i="26" s="1"/>
  <c r="Q33" i="26"/>
  <c r="H1" i="42"/>
  <c r="I11" i="42"/>
  <c r="C11" i="45"/>
  <c r="H1" i="45" s="1"/>
  <c r="G57" i="21"/>
  <c r="V57" i="21" s="1"/>
  <c r="W57" i="21" s="1"/>
  <c r="R62" i="62"/>
  <c r="O62" i="62" s="1"/>
  <c r="R148" i="59"/>
  <c r="O148" i="59" s="1"/>
  <c r="R112" i="59"/>
  <c r="O112" i="59" s="1"/>
  <c r="R162" i="61"/>
  <c r="O162" i="61" s="1"/>
  <c r="R208" i="59"/>
  <c r="O208" i="59" s="1"/>
  <c r="R80" i="58"/>
  <c r="O80" i="58" s="1"/>
  <c r="R208" i="62"/>
  <c r="O208" i="62" s="1"/>
  <c r="R174" i="55"/>
  <c r="O174" i="55" s="1"/>
  <c r="R192" i="61"/>
  <c r="O192" i="61" s="1"/>
  <c r="R248" i="64"/>
  <c r="O248" i="64" s="1"/>
  <c r="R248" i="59"/>
  <c r="O248" i="59" s="1"/>
  <c r="R130" i="55"/>
  <c r="O130" i="55" s="1"/>
  <c r="R130" i="61"/>
  <c r="O130" i="61" s="1"/>
  <c r="R101" i="60"/>
  <c r="O101" i="60" s="1"/>
  <c r="R112" i="62"/>
  <c r="O112" i="62" s="1"/>
  <c r="R192" i="63"/>
  <c r="O192" i="63" s="1"/>
  <c r="R40" i="59"/>
  <c r="Q40" i="59"/>
  <c r="R44" i="64"/>
  <c r="O44" i="64" s="1"/>
  <c r="R208" i="63"/>
  <c r="O208" i="63" s="1"/>
  <c r="R208" i="60"/>
  <c r="O208" i="60" s="1"/>
  <c r="U25" i="26"/>
  <c r="S31" i="26"/>
  <c r="U44" i="26"/>
  <c r="U29" i="26"/>
  <c r="U27" i="26"/>
  <c r="U23" i="26"/>
  <c r="U33" i="26"/>
  <c r="S44" i="26"/>
  <c r="U31" i="26"/>
  <c r="U21" i="26"/>
  <c r="AG29" i="26"/>
  <c r="AG44" i="26"/>
  <c r="AE44" i="26"/>
  <c r="AG27" i="26"/>
  <c r="AE31" i="26"/>
  <c r="AG25" i="26"/>
  <c r="AG33" i="26"/>
  <c r="AG23" i="26"/>
  <c r="AG31" i="26"/>
  <c r="AG21" i="26"/>
  <c r="AA11" i="26"/>
  <c r="G15" i="47"/>
  <c r="H1" i="47"/>
  <c r="AA42" i="26"/>
  <c r="I11" i="47"/>
  <c r="E61" i="21"/>
  <c r="O42" i="26"/>
  <c r="E55" i="21"/>
  <c r="O11" i="26"/>
  <c r="I11" i="44"/>
  <c r="G15" i="44"/>
  <c r="H1" i="44"/>
  <c r="N40" i="64"/>
  <c r="N17" i="25"/>
  <c r="N41" i="25" s="1"/>
  <c r="W27" i="26" s="1"/>
  <c r="H5" i="42"/>
  <c r="H7" i="42"/>
  <c r="H8" i="42"/>
  <c r="H4" i="42"/>
  <c r="H3" i="42"/>
  <c r="H9" i="42"/>
  <c r="H6" i="42"/>
  <c r="H10" i="42"/>
  <c r="P17" i="25"/>
  <c r="P41" i="25" s="1"/>
  <c r="AA27" i="26" s="1"/>
  <c r="N40" i="58"/>
  <c r="S11" i="26"/>
  <c r="G15" i="45"/>
  <c r="G15" i="46"/>
  <c r="E59" i="21"/>
  <c r="H1" i="46"/>
  <c r="I11" i="46"/>
  <c r="W42" i="26"/>
  <c r="W11" i="26"/>
  <c r="Q80" i="55"/>
  <c r="O80" i="55"/>
  <c r="H1" i="22"/>
  <c r="G15" i="22"/>
  <c r="E48" i="21"/>
  <c r="C11" i="26"/>
  <c r="I11" i="22"/>
  <c r="C42" i="26"/>
  <c r="E53" i="21"/>
  <c r="G15" i="43"/>
  <c r="K11" i="26"/>
  <c r="K42" i="26"/>
  <c r="I11" i="43"/>
  <c r="H1" i="43"/>
  <c r="H1" i="48"/>
  <c r="AE42" i="26"/>
  <c r="G15" i="48"/>
  <c r="I11" i="48"/>
  <c r="E63" i="21"/>
  <c r="AE11" i="26"/>
  <c r="T19" i="25"/>
  <c r="N8" i="63"/>
  <c r="N208" i="63"/>
  <c r="N162" i="63"/>
  <c r="P15" i="63"/>
  <c r="N44" i="63"/>
  <c r="N40" i="63"/>
  <c r="R40" i="63" s="1"/>
  <c r="R162" i="63"/>
  <c r="O162" i="63" s="1"/>
  <c r="R148" i="63"/>
  <c r="O148" i="63" s="1"/>
  <c r="R13" i="27"/>
  <c r="S13" i="27" s="1"/>
  <c r="N130" i="63"/>
  <c r="N226" i="63"/>
  <c r="N10" i="63"/>
  <c r="N101" i="63"/>
  <c r="N12" i="63"/>
  <c r="L8" i="64"/>
  <c r="N206" i="60"/>
  <c r="N248" i="60"/>
  <c r="R101" i="62"/>
  <c r="O101" i="62" s="1"/>
  <c r="R148" i="62"/>
  <c r="O148" i="62" s="1"/>
  <c r="R208" i="61"/>
  <c r="O208" i="61" s="1"/>
  <c r="T24" i="25"/>
  <c r="D41" i="25"/>
  <c r="C27" i="26" s="1"/>
  <c r="E29" i="26" s="1"/>
  <c r="R174" i="63"/>
  <c r="O174" i="63" s="1"/>
  <c r="Q40" i="62"/>
  <c r="I44" i="26"/>
  <c r="I33" i="26"/>
  <c r="G44" i="26"/>
  <c r="I29" i="26"/>
  <c r="G31" i="26"/>
  <c r="I31" i="26" s="1"/>
  <c r="I27" i="26"/>
  <c r="H41" i="25"/>
  <c r="K27" i="26" s="1"/>
  <c r="K51" i="26" s="1"/>
  <c r="R40" i="61"/>
  <c r="Q40" i="61"/>
  <c r="N112" i="60"/>
  <c r="N230" i="60"/>
  <c r="N12" i="60"/>
  <c r="N99" i="60"/>
  <c r="Q99" i="60" s="1"/>
  <c r="N40" i="60"/>
  <c r="N44" i="60"/>
  <c r="N16" i="60"/>
  <c r="N42" i="60"/>
  <c r="N228" i="60"/>
  <c r="N8" i="60"/>
  <c r="R19" i="27"/>
  <c r="N226" i="60"/>
  <c r="G49" i="26" l="1"/>
  <c r="G23" i="26" s="1"/>
  <c r="I23" i="26" s="1"/>
  <c r="E57" i="21"/>
  <c r="I11" i="45"/>
  <c r="S42" i="26"/>
  <c r="S53" i="26" s="1"/>
  <c r="Q101" i="55"/>
  <c r="O101" i="55"/>
  <c r="G53" i="26"/>
  <c r="G54" i="26"/>
  <c r="G25" i="26" s="1"/>
  <c r="I25" i="26" s="1"/>
  <c r="E44" i="26"/>
  <c r="Q40" i="63"/>
  <c r="N8" i="64"/>
  <c r="R23" i="27"/>
  <c r="S23" i="27" s="1"/>
  <c r="AC31" i="26"/>
  <c r="AC25" i="26"/>
  <c r="AC44" i="26"/>
  <c r="AC29" i="26"/>
  <c r="AC27" i="26"/>
  <c r="AC33" i="26"/>
  <c r="AC23" i="26"/>
  <c r="AA44" i="26"/>
  <c r="AC21" i="26"/>
  <c r="AA31" i="26"/>
  <c r="H10" i="48"/>
  <c r="H4" i="48"/>
  <c r="H6" i="48"/>
  <c r="H9" i="48"/>
  <c r="H3" i="48"/>
  <c r="H7" i="48"/>
  <c r="H8" i="48"/>
  <c r="H5" i="48"/>
  <c r="H6" i="22"/>
  <c r="H9" i="22"/>
  <c r="H10" i="22"/>
  <c r="H7" i="22"/>
  <c r="H8" i="22"/>
  <c r="H3" i="22"/>
  <c r="H4" i="22"/>
  <c r="H5" i="22"/>
  <c r="W53" i="26"/>
  <c r="W51" i="26"/>
  <c r="W49" i="26" s="1"/>
  <c r="W23" i="26" s="1"/>
  <c r="W54" i="26"/>
  <c r="W25" i="26" s="1"/>
  <c r="H5" i="46"/>
  <c r="H7" i="46"/>
  <c r="H9" i="46"/>
  <c r="H6" i="46"/>
  <c r="H3" i="46"/>
  <c r="H10" i="46"/>
  <c r="H4" i="46"/>
  <c r="H8" i="46"/>
  <c r="H9" i="45"/>
  <c r="H5" i="45"/>
  <c r="H4" i="45"/>
  <c r="H6" i="45"/>
  <c r="H7" i="45"/>
  <c r="H8" i="45"/>
  <c r="H10" i="45"/>
  <c r="H3" i="45"/>
  <c r="R40" i="64"/>
  <c r="Q40" i="64"/>
  <c r="O49" i="26"/>
  <c r="O23" i="26" s="1"/>
  <c r="Q23" i="26" s="1"/>
  <c r="O54" i="26"/>
  <c r="O25" i="26" s="1"/>
  <c r="O53" i="26"/>
  <c r="O51" i="26"/>
  <c r="H8" i="47"/>
  <c r="H5" i="47"/>
  <c r="H9" i="47"/>
  <c r="H3" i="47"/>
  <c r="H7" i="47"/>
  <c r="H4" i="47"/>
  <c r="H10" i="47"/>
  <c r="H6" i="47"/>
  <c r="Y25" i="26"/>
  <c r="W31" i="26"/>
  <c r="Y33" i="26"/>
  <c r="Y23" i="26"/>
  <c r="Y29" i="26"/>
  <c r="Y31" i="26"/>
  <c r="Y21" i="26"/>
  <c r="Y44" i="26"/>
  <c r="Y27" i="26"/>
  <c r="W44" i="26"/>
  <c r="AE53" i="26"/>
  <c r="AE54" i="26"/>
  <c r="AE25" i="26" s="1"/>
  <c r="H4" i="43"/>
  <c r="H6" i="43"/>
  <c r="H8" i="43"/>
  <c r="H5" i="43"/>
  <c r="H7" i="43"/>
  <c r="H3" i="43"/>
  <c r="H9" i="43"/>
  <c r="H10" i="43"/>
  <c r="K49" i="26"/>
  <c r="K23" i="26" s="1"/>
  <c r="M23" i="26" s="1"/>
  <c r="S51" i="26"/>
  <c r="S49" i="26" s="1"/>
  <c r="S23" i="26" s="1"/>
  <c r="R40" i="58"/>
  <c r="Q40" i="58"/>
  <c r="H6" i="44"/>
  <c r="H7" i="44"/>
  <c r="H3" i="44"/>
  <c r="H5" i="44"/>
  <c r="H10" i="44"/>
  <c r="H9" i="44"/>
  <c r="H4" i="44"/>
  <c r="H8" i="44"/>
  <c r="AA53" i="26"/>
  <c r="AA54" i="26"/>
  <c r="AA25" i="26" s="1"/>
  <c r="AA51" i="26"/>
  <c r="AA49" i="26" s="1"/>
  <c r="C53" i="26"/>
  <c r="G48" i="26"/>
  <c r="T17" i="25"/>
  <c r="T41" i="25" s="1"/>
  <c r="AE51" i="26"/>
  <c r="AE49" i="26" s="1"/>
  <c r="AE23" i="26" s="1"/>
  <c r="E27" i="26"/>
  <c r="C31" i="26"/>
  <c r="E31" i="26" s="1"/>
  <c r="C51" i="26"/>
  <c r="C49" i="26" s="1"/>
  <c r="C23" i="26" s="1"/>
  <c r="E33" i="26"/>
  <c r="C44" i="26"/>
  <c r="C54" i="26"/>
  <c r="AI27" i="26"/>
  <c r="AK27" i="26" s="1"/>
  <c r="M29" i="26"/>
  <c r="K54" i="26"/>
  <c r="K25" i="26" s="1"/>
  <c r="M33" i="26"/>
  <c r="M27" i="26"/>
  <c r="M44" i="26"/>
  <c r="K44" i="26"/>
  <c r="K53" i="26"/>
  <c r="K31" i="26"/>
  <c r="M31" i="26" s="1"/>
  <c r="R40" i="60"/>
  <c r="Q40" i="60"/>
  <c r="S19" i="27"/>
  <c r="S48" i="26" l="1"/>
  <c r="G21" i="26"/>
  <c r="S54" i="26"/>
  <c r="S25" i="26" s="1"/>
  <c r="R29" i="27"/>
  <c r="S29" i="27" s="1"/>
  <c r="B32" i="27"/>
  <c r="W48" i="26"/>
  <c r="R31" i="27"/>
  <c r="C25" i="26"/>
  <c r="AI25" i="26" s="1"/>
  <c r="M31" i="21" s="1"/>
  <c r="A44" i="26"/>
  <c r="J43" i="25"/>
  <c r="V21" i="25"/>
  <c r="S228" i="62"/>
  <c r="S229" i="58"/>
  <c r="S229" i="59"/>
  <c r="V31" i="25"/>
  <c r="V19" i="25"/>
  <c r="S227" i="63"/>
  <c r="R228" i="63" s="1"/>
  <c r="S206" i="62"/>
  <c r="S229" i="63"/>
  <c r="S228" i="64"/>
  <c r="R43" i="25"/>
  <c r="S227" i="58"/>
  <c r="R228" i="58" s="1"/>
  <c r="V41" i="25"/>
  <c r="V39" i="25"/>
  <c r="X39" i="25" s="1"/>
  <c r="Q248" i="64" s="1"/>
  <c r="O249" i="64" s="1"/>
  <c r="O10" i="64" s="1"/>
  <c r="O8" i="64" s="1"/>
  <c r="V25" i="25"/>
  <c r="P43" i="25"/>
  <c r="H43" i="25"/>
  <c r="S206" i="59"/>
  <c r="V43" i="25"/>
  <c r="V29" i="25"/>
  <c r="S228" i="58"/>
  <c r="S227" i="55"/>
  <c r="R228" i="55" s="1"/>
  <c r="S228" i="63"/>
  <c r="V20" i="25"/>
  <c r="S206" i="58"/>
  <c r="F43" i="25"/>
  <c r="V13" i="25"/>
  <c r="V28" i="25"/>
  <c r="V34" i="25"/>
  <c r="N43" i="25"/>
  <c r="S227" i="62"/>
  <c r="R228" i="62" s="1"/>
  <c r="S206" i="63"/>
  <c r="W21" i="26"/>
  <c r="D49" i="27" s="1"/>
  <c r="Q25" i="26"/>
  <c r="H49" i="27"/>
  <c r="N49" i="27"/>
  <c r="L49" i="27"/>
  <c r="AA48" i="26"/>
  <c r="AA21" i="26" s="1"/>
  <c r="AA23" i="26"/>
  <c r="AE48" i="26"/>
  <c r="AE21" i="26" s="1"/>
  <c r="S206" i="60"/>
  <c r="S228" i="60"/>
  <c r="S227" i="59"/>
  <c r="R228" i="59" s="1"/>
  <c r="V15" i="25"/>
  <c r="S229" i="55"/>
  <c r="V14" i="25"/>
  <c r="V22" i="25"/>
  <c r="S229" i="64"/>
  <c r="S228" i="61"/>
  <c r="S206" i="55"/>
  <c r="V24" i="25"/>
  <c r="S206" i="61"/>
  <c r="S229" i="61"/>
  <c r="V30" i="25"/>
  <c r="S227" i="61"/>
  <c r="R228" i="61" s="1"/>
  <c r="S206" i="64"/>
  <c r="S228" i="55"/>
  <c r="S228" i="59"/>
  <c r="V33" i="25"/>
  <c r="V11" i="25"/>
  <c r="D43" i="25"/>
  <c r="V37" i="25"/>
  <c r="S227" i="64"/>
  <c r="R228" i="64" s="1"/>
  <c r="V27" i="25"/>
  <c r="S227" i="60"/>
  <c r="R228" i="60" s="1"/>
  <c r="V17" i="25"/>
  <c r="S229" i="60"/>
  <c r="V26" i="25"/>
  <c r="V35" i="25"/>
  <c r="S229" i="62"/>
  <c r="V38" i="25"/>
  <c r="L43" i="25"/>
  <c r="K48" i="26"/>
  <c r="K21" i="26" s="1"/>
  <c r="O48" i="26"/>
  <c r="O21" i="26" s="1"/>
  <c r="AK29" i="26"/>
  <c r="AK33" i="26"/>
  <c r="A31" i="21"/>
  <c r="Q28" i="21" s="1"/>
  <c r="M25" i="26"/>
  <c r="D41" i="27"/>
  <c r="F41" i="27"/>
  <c r="H41" i="27"/>
  <c r="L41" i="27"/>
  <c r="J41" i="27"/>
  <c r="I21" i="26"/>
  <c r="N41" i="27"/>
  <c r="AI31" i="26"/>
  <c r="AK31" i="26" s="1"/>
  <c r="C48" i="26"/>
  <c r="AI23" i="26"/>
  <c r="E23" i="26"/>
  <c r="S21" i="26" l="1"/>
  <c r="Q248" i="60"/>
  <c r="O249" i="60" s="1"/>
  <c r="O10" i="60" s="1"/>
  <c r="O8" i="60" s="1"/>
  <c r="Q8" i="64"/>
  <c r="E25" i="26"/>
  <c r="C21" i="26"/>
  <c r="D39" i="27" s="1"/>
  <c r="Q248" i="58"/>
  <c r="O249" i="58" s="1"/>
  <c r="O10" i="58" s="1"/>
  <c r="O8" i="58" s="1"/>
  <c r="Q248" i="63"/>
  <c r="Q8" i="63" s="1"/>
  <c r="AK25" i="26"/>
  <c r="Q248" i="55"/>
  <c r="Q8" i="55" s="1"/>
  <c r="Q248" i="62"/>
  <c r="O249" i="62" s="1"/>
  <c r="O10" i="62" s="1"/>
  <c r="O8" i="62" s="1"/>
  <c r="Q248" i="61"/>
  <c r="O249" i="61" s="1"/>
  <c r="O10" i="61" s="1"/>
  <c r="O8" i="61" s="1"/>
  <c r="Q248" i="59"/>
  <c r="Q8" i="59" s="1"/>
  <c r="AK23" i="26"/>
  <c r="I31" i="21"/>
  <c r="L43" i="27"/>
  <c r="N43" i="27"/>
  <c r="M21" i="26"/>
  <c r="J49" i="27"/>
  <c r="P49" i="27" s="1"/>
  <c r="F49" i="27"/>
  <c r="N53" i="27"/>
  <c r="J53" i="27"/>
  <c r="D53" i="27"/>
  <c r="F53" i="27"/>
  <c r="L53" i="27"/>
  <c r="H53" i="27"/>
  <c r="D45" i="27"/>
  <c r="J45" i="27"/>
  <c r="N45" i="27"/>
  <c r="Q21" i="26"/>
  <c r="H45" i="27"/>
  <c r="F45" i="27"/>
  <c r="L45" i="27"/>
  <c r="D51" i="27"/>
  <c r="H51" i="27"/>
  <c r="F51" i="27"/>
  <c r="L51" i="27"/>
  <c r="N51" i="27"/>
  <c r="J51" i="27"/>
  <c r="D43" i="27"/>
  <c r="H43" i="27"/>
  <c r="F43" i="27"/>
  <c r="J43" i="27"/>
  <c r="P41" i="27"/>
  <c r="E21" i="26"/>
  <c r="F39" i="27" l="1"/>
  <c r="H39" i="27"/>
  <c r="L39" i="27"/>
  <c r="L55" i="27" s="1"/>
  <c r="O249" i="63"/>
  <c r="O10" i="63" s="1"/>
  <c r="O8" i="63" s="1"/>
  <c r="O249" i="59"/>
  <c r="O10" i="59" s="1"/>
  <c r="O8" i="59" s="1"/>
  <c r="J47" i="27"/>
  <c r="N47" i="27"/>
  <c r="D47" i="27"/>
  <c r="L47" i="27"/>
  <c r="H47" i="27"/>
  <c r="F47" i="27"/>
  <c r="Q8" i="60"/>
  <c r="Q8" i="58"/>
  <c r="AI21" i="26"/>
  <c r="E31" i="21" s="1"/>
  <c r="N39" i="27"/>
  <c r="N55" i="27" s="1"/>
  <c r="J39" i="27"/>
  <c r="J55" i="27" s="1"/>
  <c r="Q8" i="61"/>
  <c r="Q8" i="62"/>
  <c r="O249" i="55"/>
  <c r="O10" i="55" s="1"/>
  <c r="O8" i="55" s="1"/>
  <c r="P43" i="27"/>
  <c r="P45" i="27"/>
  <c r="H55" i="27"/>
  <c r="F55" i="27"/>
  <c r="P51" i="27"/>
  <c r="P53" i="27"/>
  <c r="P47" i="27" l="1"/>
  <c r="AK21" i="26"/>
  <c r="D55" i="27"/>
  <c r="P55" i="27" s="1"/>
  <c r="P39" i="27"/>
</calcChain>
</file>

<file path=xl/sharedStrings.xml><?xml version="1.0" encoding="utf-8"?>
<sst xmlns="http://schemas.openxmlformats.org/spreadsheetml/2006/main" count="4994" uniqueCount="1108">
  <si>
    <t>(day/month/year)</t>
  </si>
  <si>
    <t>Public organisation</t>
  </si>
  <si>
    <t>Private organisation</t>
  </si>
  <si>
    <t>Project partnership</t>
  </si>
  <si>
    <t>LB/PP (abbreviated name)</t>
  </si>
  <si>
    <t>LB/Project partner</t>
  </si>
  <si>
    <t>start date</t>
  </si>
  <si>
    <t>end date</t>
  </si>
  <si>
    <t>Project implementation - Amount (EUR)</t>
  </si>
  <si>
    <t>1. reporting period</t>
  </si>
  <si>
    <t>2. reporting period</t>
  </si>
  <si>
    <t>3. reporting period</t>
  </si>
  <si>
    <t>4. reporting period</t>
  </si>
  <si>
    <t>5. reporting period</t>
  </si>
  <si>
    <t>6. reporting period</t>
  </si>
  <si>
    <t>Unit price (EUR)</t>
  </si>
  <si>
    <t>Nr. of units</t>
  </si>
  <si>
    <t>Name of item</t>
  </si>
  <si>
    <t>Total (EUR):</t>
  </si>
  <si>
    <t>ŰG</t>
  </si>
  <si>
    <t>Project implementation period</t>
  </si>
  <si>
    <t>Name</t>
  </si>
  <si>
    <t xml:space="preserve">Name of the contact  person </t>
  </si>
  <si>
    <t>Name of item (advised content if relevant: planned no. of participants, duration, tech. needs, included services)</t>
  </si>
  <si>
    <t>2.2.3</t>
  </si>
  <si>
    <t>m2</t>
  </si>
  <si>
    <t>1.2.2</t>
  </si>
  <si>
    <t>Estimated date of receiving the permit</t>
  </si>
  <si>
    <t>Partner exists</t>
  </si>
  <si>
    <t xml:space="preserve">Last closed budgetary year balance sheet total </t>
  </si>
  <si>
    <t>∑</t>
  </si>
  <si>
    <r>
      <t>5.2</t>
    </r>
    <r>
      <rPr>
        <b/>
        <sz val="7"/>
        <rFont val="Arial"/>
        <family val="2"/>
      </rPr>
      <t xml:space="preserve">    </t>
    </r>
    <r>
      <rPr>
        <b/>
        <sz val="11"/>
        <rFont val="Arial"/>
        <family val="2"/>
      </rPr>
      <t xml:space="preserve"> Consistency and synergy</t>
    </r>
  </si>
  <si>
    <t>2.1.2</t>
  </si>
  <si>
    <t>Project specific indicators</t>
  </si>
  <si>
    <r>
      <t>2.1</t>
    </r>
    <r>
      <rPr>
        <b/>
        <sz val="7"/>
        <rFont val="Arial"/>
        <family val="2"/>
      </rPr>
      <t xml:space="preserve">    </t>
    </r>
    <r>
      <rPr>
        <b/>
        <sz val="11"/>
        <rFont val="Arial"/>
        <family val="2"/>
      </rPr>
      <t>Lead Beneficiary</t>
    </r>
  </si>
  <si>
    <t>Difference</t>
  </si>
  <si>
    <t>NUTS V - settlement(s)</t>
  </si>
  <si>
    <t xml:space="preserve">Location of the project implementation </t>
  </si>
  <si>
    <t>Detailed description, justification of the budget line (for all items listed below) - bear in mind the communication activities planned in section 8. Information and publicity:</t>
  </si>
  <si>
    <t>TOTAL COSTS</t>
  </si>
  <si>
    <t>Relevant year (last closed budgetary year)</t>
  </si>
  <si>
    <t>Unit</t>
  </si>
  <si>
    <t>Priority</t>
  </si>
  <si>
    <t>Legal status</t>
  </si>
  <si>
    <t>Type of institution</t>
  </si>
  <si>
    <t>Settlement</t>
  </si>
  <si>
    <t>Postal code</t>
  </si>
  <si>
    <t>Web</t>
  </si>
  <si>
    <t>First name</t>
  </si>
  <si>
    <t>E-mail</t>
  </si>
  <si>
    <t>1.</t>
  </si>
  <si>
    <t>2.</t>
  </si>
  <si>
    <t>3.</t>
  </si>
  <si>
    <t>4.</t>
  </si>
  <si>
    <t>5.</t>
  </si>
  <si>
    <t>6.</t>
  </si>
  <si>
    <t>7.</t>
  </si>
  <si>
    <t>ACTIVITIES</t>
  </si>
  <si>
    <t>Type</t>
  </si>
  <si>
    <t>EUR</t>
  </si>
  <si>
    <t>Preparation costs</t>
  </si>
  <si>
    <t>Country</t>
  </si>
  <si>
    <t>Telephone</t>
  </si>
  <si>
    <t>Type of permit</t>
  </si>
  <si>
    <t>Lead Beneficiary</t>
  </si>
  <si>
    <t>Registry number</t>
  </si>
  <si>
    <t>National tax number</t>
  </si>
  <si>
    <t>Community tax number</t>
  </si>
  <si>
    <t>Contact person in project</t>
  </si>
  <si>
    <t>Funding from other sources</t>
  </si>
  <si>
    <t>Financial capacity</t>
  </si>
  <si>
    <t>Number of staff</t>
  </si>
  <si>
    <t>Last closed budgetary year annual revenue</t>
  </si>
  <si>
    <t>Last closed budgetary year result</t>
  </si>
  <si>
    <t>Address of branch office</t>
  </si>
  <si>
    <t>Official address of the organisation</t>
  </si>
  <si>
    <t>Date of foundation</t>
  </si>
  <si>
    <t>Date of request</t>
  </si>
  <si>
    <t>TOTAL COSTS (own contribution included)</t>
  </si>
  <si>
    <t xml:space="preserve"> /chr.</t>
  </si>
  <si>
    <t>Data in the table should cover all planned costs to be incurred and reported in the relevant reporting periods during the whole project implementation. Please do not fill in the cells coloured in grey, as they exceed the predefined duration of the project.</t>
  </si>
  <si>
    <t>Please do not fill in the cells coloured in grey, as they exceed the predefined duration of the project!</t>
  </si>
  <si>
    <t>Amount of eligible VAT*:</t>
  </si>
  <si>
    <t>Statutory representative of the organisation</t>
  </si>
  <si>
    <t>Detailed description of the work related to the project, justification of the budget line (for all items listed below):</t>
  </si>
  <si>
    <t>per month</t>
  </si>
  <si>
    <t xml:space="preserve">Registry number: </t>
  </si>
  <si>
    <t>Error in the selected date (not exists)!</t>
  </si>
  <si>
    <r>
      <t xml:space="preserve">Project title </t>
    </r>
    <r>
      <rPr>
        <sz val="11"/>
        <rFont val="Arial"/>
        <family val="2"/>
      </rPr>
      <t>(</t>
    </r>
    <r>
      <rPr>
        <i/>
        <sz val="11"/>
        <rFont val="Arial"/>
        <family val="2"/>
      </rPr>
      <t>max.200 characters</t>
    </r>
    <r>
      <rPr>
        <sz val="11"/>
        <rFont val="Arial"/>
        <family val="2"/>
      </rPr>
      <t>)</t>
    </r>
  </si>
  <si>
    <t>Area of int.</t>
  </si>
  <si>
    <t>index</t>
  </si>
  <si>
    <t>General information</t>
  </si>
  <si>
    <t xml:space="preserve">Priority </t>
  </si>
  <si>
    <t xml:space="preserve">Total project budget (EUR) </t>
  </si>
  <si>
    <t>Project duration (in months):</t>
  </si>
  <si>
    <t>(month)</t>
  </si>
  <si>
    <t>(year)</t>
  </si>
  <si>
    <t>APPLICATION FORM</t>
  </si>
  <si>
    <t xml:space="preserve">Application form ID: </t>
  </si>
  <si>
    <r>
      <t>Start date of the project implementation</t>
    </r>
    <r>
      <rPr>
        <sz val="10"/>
        <rFont val="Arial"/>
        <family val="2"/>
        <charset val="238"/>
      </rPr>
      <t>:</t>
    </r>
  </si>
  <si>
    <r>
      <t>End date of the project implementation</t>
    </r>
    <r>
      <rPr>
        <sz val="10"/>
        <rFont val="Arial"/>
        <family val="2"/>
        <charset val="238"/>
      </rPr>
      <t>:</t>
    </r>
  </si>
  <si>
    <t>(day)</t>
  </si>
  <si>
    <t>Hungary</t>
  </si>
  <si>
    <t>Croatia</t>
  </si>
  <si>
    <t>Baranya megye</t>
  </si>
  <si>
    <t>Somogy megye</t>
  </si>
  <si>
    <t>Zala megye</t>
  </si>
  <si>
    <t>Koprivničko-križevačka županija</t>
  </si>
  <si>
    <t>Međimurska županija</t>
  </si>
  <si>
    <t>Osječko-baranjska županija</t>
  </si>
  <si>
    <t>Virovitičko-podravska županija</t>
  </si>
  <si>
    <t>Bjelovarsko-bilogorska županija</t>
  </si>
  <si>
    <t>NUTSIII or equivalent</t>
  </si>
  <si>
    <t>Požeško-slavonska županija</t>
  </si>
  <si>
    <t>Varaždinska županija</t>
  </si>
  <si>
    <t>Mr.</t>
  </si>
  <si>
    <t>Vukovarsko-srijemska županija</t>
  </si>
  <si>
    <t>Ms.</t>
  </si>
  <si>
    <t>Address (permanent residence)</t>
  </si>
  <si>
    <t>Street and number</t>
  </si>
  <si>
    <t xml:space="preserve">Contact  person </t>
  </si>
  <si>
    <t>title</t>
  </si>
  <si>
    <t>position</t>
  </si>
  <si>
    <t>Family name</t>
  </si>
  <si>
    <t>Official name of the organization in original language</t>
  </si>
  <si>
    <t>year</t>
  </si>
  <si>
    <t>public authority</t>
  </si>
  <si>
    <t>non-profit organisation governed by private law</t>
  </si>
  <si>
    <t xml:space="preserve">body governed by public law </t>
  </si>
  <si>
    <t>PO Box</t>
  </si>
  <si>
    <t>-</t>
  </si>
  <si>
    <t xml:space="preserve">Mailing address </t>
  </si>
  <si>
    <t>person</t>
  </si>
  <si>
    <t>HUF</t>
  </si>
  <si>
    <t>HRK</t>
  </si>
  <si>
    <t>Data in currency:</t>
  </si>
  <si>
    <t>Total project</t>
  </si>
  <si>
    <t>Share (%)</t>
  </si>
  <si>
    <t>Lead Beneficiary:</t>
  </si>
  <si>
    <t>Project acronym:</t>
  </si>
  <si>
    <t>Total costs</t>
  </si>
  <si>
    <t>Amount (EUR)</t>
  </si>
  <si>
    <t>Sources</t>
  </si>
  <si>
    <t xml:space="preserve">Total </t>
  </si>
  <si>
    <t>Nr.</t>
  </si>
  <si>
    <t>Building</t>
  </si>
  <si>
    <t>Environmental</t>
  </si>
  <si>
    <t>Cultural heritage</t>
  </si>
  <si>
    <t>other</t>
  </si>
  <si>
    <t>Identification/ registry number of permit</t>
  </si>
  <si>
    <t>4. Project summary</t>
  </si>
  <si>
    <t>No</t>
  </si>
  <si>
    <t>Yes</t>
  </si>
  <si>
    <t>Development agency</t>
  </si>
  <si>
    <t>Non-governmental organisation</t>
  </si>
  <si>
    <t>Church</t>
  </si>
  <si>
    <t>Foundation</t>
  </si>
  <si>
    <t>Other</t>
  </si>
  <si>
    <t>f)      Benefits of the project</t>
  </si>
  <si>
    <t>OIB number (for Croatia only)</t>
  </si>
  <si>
    <t>Public non-profit company</t>
  </si>
  <si>
    <t>Water licence</t>
  </si>
  <si>
    <r>
      <t xml:space="preserve">Acronym </t>
    </r>
    <r>
      <rPr>
        <sz val="11"/>
        <rFont val="Arial"/>
        <family val="2"/>
      </rPr>
      <t>(</t>
    </r>
    <r>
      <rPr>
        <i/>
        <sz val="11"/>
        <rFont val="Arial"/>
        <family val="2"/>
      </rPr>
      <t>max.30 characters</t>
    </r>
    <r>
      <rPr>
        <sz val="11"/>
        <rFont val="Arial"/>
        <family val="2"/>
      </rPr>
      <t>)</t>
    </r>
  </si>
  <si>
    <r>
      <t xml:space="preserve">Official name of the organization in English (if exists) </t>
    </r>
    <r>
      <rPr>
        <sz val="10"/>
        <rFont val="Arial"/>
        <family val="2"/>
        <charset val="238"/>
      </rPr>
      <t>(max. 150 characters)</t>
    </r>
  </si>
  <si>
    <t>Awarded de minimis grant in the current and the previous two financial years (EUR):</t>
  </si>
  <si>
    <t>5. Project description</t>
  </si>
  <si>
    <t>Data for the budget line is not complete! Please fill all respective cells!</t>
  </si>
  <si>
    <t>hibaüzenet feltételek</t>
  </si>
  <si>
    <t>to check:</t>
  </si>
  <si>
    <t>General indicators</t>
  </si>
  <si>
    <t>min</t>
  </si>
  <si>
    <t>max</t>
  </si>
  <si>
    <t>max with equipments</t>
  </si>
  <si>
    <t>1st year of implementation - Amount (EUR)</t>
  </si>
  <si>
    <t>2nd year of implementation - Amount (EUR)</t>
  </si>
  <si>
    <t>NUTS III region or equivalent</t>
  </si>
  <si>
    <r>
      <t>5.1</t>
    </r>
    <r>
      <rPr>
        <b/>
        <sz val="7"/>
        <rFont val="Arial"/>
        <family val="2"/>
      </rPr>
      <t xml:space="preserve">    </t>
    </r>
    <r>
      <rPr>
        <b/>
        <sz val="11"/>
        <rFont val="Arial"/>
        <family val="2"/>
      </rPr>
      <t>Key aspects of the project description</t>
    </r>
  </si>
  <si>
    <t>Planned net revenues</t>
  </si>
  <si>
    <t>Budget lines</t>
  </si>
  <si>
    <t>Amount       (EUR)</t>
  </si>
  <si>
    <r>
      <t>Abbreviated name (in original language)</t>
    </r>
    <r>
      <rPr>
        <b/>
        <sz val="10"/>
        <rFont val="Arial"/>
        <family val="2"/>
      </rPr>
      <t xml:space="preserve"> </t>
    </r>
    <r>
      <rPr>
        <sz val="10"/>
        <rFont val="Arial"/>
        <family val="2"/>
        <charset val="238"/>
      </rPr>
      <t>(max. 20 characters)</t>
    </r>
  </si>
  <si>
    <r>
      <t xml:space="preserve">Official name of the organization in original language </t>
    </r>
    <r>
      <rPr>
        <sz val="10"/>
        <rFont val="Arial"/>
        <family val="2"/>
        <charset val="238"/>
      </rPr>
      <t>(max. 150 characters)</t>
    </r>
  </si>
  <si>
    <r>
      <t xml:space="preserve">Founder organisation </t>
    </r>
    <r>
      <rPr>
        <sz val="10"/>
        <rFont val="Arial"/>
        <family val="2"/>
        <charset val="238"/>
      </rPr>
      <t>(max. 150 characters)</t>
    </r>
  </si>
  <si>
    <t>2.1.3</t>
  </si>
  <si>
    <t>Lead beneficiary:</t>
  </si>
  <si>
    <t>Total (EUR)</t>
  </si>
  <si>
    <t>Name of indicator</t>
  </si>
  <si>
    <t>Base-line value</t>
  </si>
  <si>
    <t>Target value</t>
  </si>
  <si>
    <t xml:space="preserve"> General indicators</t>
  </si>
  <si>
    <t>result</t>
  </si>
  <si>
    <t xml:space="preserve">Number of settlements influenced by the project </t>
  </si>
  <si>
    <t>pcs</t>
  </si>
  <si>
    <t>output</t>
  </si>
  <si>
    <t xml:space="preserve">Length of newly constructed/renovated infrastructure </t>
  </si>
  <si>
    <t xml:space="preserve">Size of basic area of newly constructed/renovated infrastructure </t>
  </si>
  <si>
    <t>persons</t>
  </si>
  <si>
    <t>Detailed description, justification of the budget line (for all items listed below):</t>
  </si>
  <si>
    <t>Detailed description justification of the budget line (for all items listed below):</t>
  </si>
  <si>
    <t>Name of item (min. requirement: planned no. of participants, duration, tech. needs, included services)</t>
  </si>
  <si>
    <t>Project administration and management</t>
  </si>
  <si>
    <t>Name of item (minimum requirement: name of the person; position in the project; monthly working hours)</t>
  </si>
  <si>
    <t>Name of item (min. requirement: position in the project; estimated working hours needed)</t>
  </si>
  <si>
    <t>Detailed description, justification of the budget line (for all items listed below) with special focus on the necessity and contribution to the project activities/results:</t>
  </si>
  <si>
    <t>Name of item (special technical needs e.g. training, warranty, installation have to be described here - if any)</t>
  </si>
  <si>
    <t>Unit of measure</t>
  </si>
  <si>
    <t xml:space="preserve">Number of newly elaborated/harmonised documents (development plans, studies, researches, surveys, technical and training materials) </t>
  </si>
  <si>
    <t xml:space="preserve">Horizontal indicators </t>
  </si>
  <si>
    <t>Horizontal indicators</t>
  </si>
  <si>
    <t>Application ID: HUHR/0901</t>
  </si>
  <si>
    <t>Official name of the organization</t>
  </si>
  <si>
    <t>Signature, stamp</t>
  </si>
  <si>
    <t>Country check:</t>
  </si>
  <si>
    <t>/1000 chr.</t>
  </si>
  <si>
    <t>9.</t>
  </si>
  <si>
    <t>10.</t>
  </si>
  <si>
    <t>11.</t>
  </si>
  <si>
    <t>12.</t>
  </si>
  <si>
    <t>13.</t>
  </si>
  <si>
    <t>14.</t>
  </si>
  <si>
    <t>15.</t>
  </si>
  <si>
    <t>16.</t>
  </si>
  <si>
    <t>Partner abbr name</t>
  </si>
  <si>
    <t>Partners in the project:</t>
  </si>
  <si>
    <t xml:space="preserve">With his/her signature the legally authorised representative of the Lead Beneficiary certifies that the data and statements provided are complete, correct and actual, further that the provisions of the relevant Call for Proposals and its Guidelines for Applicants have been noted and respected and that all data in the application correspond to the original documents. </t>
  </si>
  <si>
    <t>Date:</t>
  </si>
  <si>
    <t>Place:</t>
  </si>
  <si>
    <t>km</t>
  </si>
  <si>
    <t>Budgetary organisation of the central state budget</t>
  </si>
  <si>
    <t>Local government</t>
  </si>
  <si>
    <t>Budgetary organisation of a local government</t>
  </si>
  <si>
    <t>Public body</t>
  </si>
  <si>
    <t>Association of local governments</t>
  </si>
  <si>
    <t>Information and publicity</t>
  </si>
  <si>
    <r>
      <t>0.</t>
    </r>
    <r>
      <rPr>
        <b/>
        <sz val="7"/>
        <color indexed="9"/>
        <rFont val="Arial"/>
        <family val="2"/>
      </rPr>
      <t xml:space="preserve">        </t>
    </r>
    <r>
      <rPr>
        <b/>
        <sz val="12"/>
        <color indexed="9"/>
        <rFont val="Arial"/>
        <family val="2"/>
        <charset val="238"/>
      </rPr>
      <t>Consultation summary</t>
    </r>
  </si>
  <si>
    <t>Date of the consultation:</t>
  </si>
  <si>
    <t>Name of the JS/IP member:</t>
  </si>
  <si>
    <r>
      <t xml:space="preserve">Project title </t>
    </r>
    <r>
      <rPr>
        <sz val="11"/>
        <rFont val="Arial"/>
        <family val="2"/>
      </rPr>
      <t/>
    </r>
  </si>
  <si>
    <t xml:space="preserve">Name of the consulting person </t>
  </si>
  <si>
    <t>Eligibility</t>
  </si>
  <si>
    <t>Partnership</t>
  </si>
  <si>
    <t>Activities</t>
  </si>
  <si>
    <t>CBC criteria</t>
  </si>
  <si>
    <t>Budget</t>
  </si>
  <si>
    <t>Detailedness</t>
  </si>
  <si>
    <t>Connection with activities</t>
  </si>
  <si>
    <t>Indicators</t>
  </si>
  <si>
    <t>Outputs and results</t>
  </si>
  <si>
    <t>Formal</t>
  </si>
  <si>
    <t>Language / filling in of AF</t>
  </si>
  <si>
    <t>Project idea</t>
  </si>
  <si>
    <t>Comments</t>
  </si>
  <si>
    <t>Appropriate</t>
  </si>
  <si>
    <t>Adequate with minor deficiencies</t>
  </si>
  <si>
    <t>Not suitable to be subject of consultation</t>
  </si>
  <si>
    <t>Further development of the project idea is needed</t>
  </si>
  <si>
    <t>Eligible</t>
  </si>
  <si>
    <t>Problematic</t>
  </si>
  <si>
    <t>Adequate</t>
  </si>
  <si>
    <t>Poor</t>
  </si>
  <si>
    <t>Should be improved</t>
  </si>
  <si>
    <t>Structure and reasonability</t>
  </si>
  <si>
    <t>Significant</t>
  </si>
  <si>
    <t>Name of the organisation</t>
  </si>
  <si>
    <t>Telephone / E-mail</t>
  </si>
  <si>
    <t>Reg. ID</t>
  </si>
  <si>
    <t>In its present form it is not recommended for submission</t>
  </si>
  <si>
    <t>Activity</t>
  </si>
  <si>
    <t>Coherent</t>
  </si>
  <si>
    <t>Incoherent</t>
  </si>
  <si>
    <t>Project logic</t>
  </si>
  <si>
    <r>
      <t xml:space="preserve">Conclusions of the formal, eligibility and coherency pre-check of the </t>
    </r>
    <r>
      <rPr>
        <b/>
        <i/>
        <u/>
        <sz val="10"/>
        <rFont val="Arial"/>
        <family val="2"/>
      </rPr>
      <t>content/concept</t>
    </r>
    <r>
      <rPr>
        <b/>
        <sz val="10"/>
        <rFont val="Arial"/>
        <family val="2"/>
      </rPr>
      <t xml:space="preserve"> of the project proposal</t>
    </r>
  </si>
  <si>
    <t>Inadequate</t>
  </si>
  <si>
    <t>Acronym</t>
  </si>
  <si>
    <t>To be filled in by the Joint Secretariat</t>
  </si>
  <si>
    <r>
      <t>3.</t>
    </r>
    <r>
      <rPr>
        <b/>
        <sz val="7"/>
        <color indexed="9"/>
        <rFont val="Arial"/>
        <family val="2"/>
      </rPr>
      <t xml:space="preserve">        </t>
    </r>
    <r>
      <rPr>
        <b/>
        <sz val="12"/>
        <color indexed="9"/>
        <rFont val="Arial"/>
        <family val="2"/>
        <charset val="238"/>
      </rPr>
      <t>Supporting stakeholders / authorities</t>
    </r>
  </si>
  <si>
    <r>
      <t>3.1</t>
    </r>
    <r>
      <rPr>
        <b/>
        <sz val="7"/>
        <rFont val="Arial"/>
        <family val="2"/>
      </rPr>
      <t xml:space="preserve">    </t>
    </r>
    <r>
      <rPr>
        <b/>
        <sz val="11"/>
        <rFont val="Arial"/>
        <family val="2"/>
      </rPr>
      <t>Supporter (1)</t>
    </r>
  </si>
  <si>
    <r>
      <t>3.2</t>
    </r>
    <r>
      <rPr>
        <b/>
        <sz val="7"/>
        <rFont val="Arial"/>
        <family val="2"/>
      </rPr>
      <t xml:space="preserve">    </t>
    </r>
    <r>
      <rPr>
        <b/>
        <sz val="11"/>
        <rFont val="Arial"/>
        <family val="2"/>
      </rPr>
      <t>Supporter (2)</t>
    </r>
  </si>
  <si>
    <r>
      <t>3.3</t>
    </r>
    <r>
      <rPr>
        <b/>
        <sz val="7"/>
        <rFont val="Arial"/>
        <family val="2"/>
      </rPr>
      <t xml:space="preserve">    </t>
    </r>
    <r>
      <rPr>
        <b/>
        <sz val="11"/>
        <rFont val="Arial"/>
        <family val="2"/>
      </rPr>
      <t>Supporter (3)</t>
    </r>
  </si>
  <si>
    <r>
      <t>3.4</t>
    </r>
    <r>
      <rPr>
        <b/>
        <sz val="7"/>
        <rFont val="Arial"/>
        <family val="2"/>
      </rPr>
      <t xml:space="preserve">    </t>
    </r>
    <r>
      <rPr>
        <b/>
        <sz val="11"/>
        <rFont val="Arial"/>
        <family val="2"/>
      </rPr>
      <t>Supporter (4)</t>
    </r>
  </si>
  <si>
    <r>
      <rPr>
        <b/>
        <u/>
        <sz val="10"/>
        <rFont val="Arial"/>
        <family val="2"/>
      </rPr>
      <t>Lump sum</t>
    </r>
    <r>
      <rPr>
        <b/>
        <sz val="10"/>
        <rFont val="Arial"/>
        <family val="2"/>
      </rPr>
      <t xml:space="preserve"> - amounts to 3 000 € of total eligible expenditure </t>
    </r>
    <r>
      <rPr>
        <b/>
        <u/>
        <sz val="10"/>
        <rFont val="Arial"/>
        <family val="2"/>
      </rPr>
      <t>per project</t>
    </r>
  </si>
  <si>
    <t>2.2 Salary of staff (project management and team members)</t>
  </si>
  <si>
    <t>Please select an option!</t>
  </si>
  <si>
    <r>
      <t xml:space="preserve">Calculation on </t>
    </r>
    <r>
      <rPr>
        <b/>
        <u/>
        <sz val="10"/>
        <rFont val="Arial"/>
        <family val="2"/>
      </rPr>
      <t>real costs</t>
    </r>
    <r>
      <rPr>
        <sz val="10"/>
        <rFont val="Arial"/>
        <family val="2"/>
        <charset val="238"/>
      </rPr>
      <t xml:space="preserve"> basis</t>
    </r>
  </si>
  <si>
    <t>Office and administrative expenditure</t>
  </si>
  <si>
    <t>Staff costs</t>
  </si>
  <si>
    <t>Travel and accommodation costs</t>
  </si>
  <si>
    <t xml:space="preserve">4.1 Travel cost of project staff </t>
  </si>
  <si>
    <t>4.2 Accommodation costs</t>
  </si>
  <si>
    <t>4.3 Per diems of the project staff</t>
  </si>
  <si>
    <t>External expertise and services costs</t>
  </si>
  <si>
    <t>5.1 Technical plans</t>
  </si>
  <si>
    <t>5.2. Studies, statistics, databases and researches</t>
  </si>
  <si>
    <t>5.4 Services related to project management, procurement procedures</t>
  </si>
  <si>
    <t>5.5 Costs of supervisor of engineering, architect's site supervision</t>
  </si>
  <si>
    <t>5.3 Events, conferences, seminars, project meetings</t>
  </si>
  <si>
    <t>5.6 Costs related to publicity, promotion and  communication</t>
  </si>
  <si>
    <t>5.7 Other services</t>
  </si>
  <si>
    <t>Equipment expenditure</t>
  </si>
  <si>
    <t>Infrastructure and works</t>
  </si>
  <si>
    <r>
      <rPr>
        <b/>
        <u/>
        <sz val="10"/>
        <rFont val="Arial"/>
        <family val="2"/>
      </rPr>
      <t>Lump sum</t>
    </r>
    <r>
      <rPr>
        <b/>
        <sz val="10"/>
        <rFont val="Arial"/>
        <family val="2"/>
      </rPr>
      <t xml:space="preserve"> - 1 000 € of total eligible expenditure </t>
    </r>
    <r>
      <rPr>
        <b/>
        <u/>
        <sz val="10"/>
        <rFont val="Arial"/>
        <family val="2"/>
      </rPr>
      <t>per beneficiary</t>
    </r>
  </si>
  <si>
    <t>6.1 Content-related / thematic equipment</t>
  </si>
  <si>
    <t xml:space="preserve">6.2 Equipment for general (office) use </t>
  </si>
  <si>
    <t>7.1 Construction, reconstruction and renovation  of buildings, works, infrastructure</t>
  </si>
  <si>
    <t>7.2 Purchase of land</t>
  </si>
  <si>
    <t>Calculated as a flat rate of 15% of the staff costs</t>
  </si>
  <si>
    <t>Lead Beneficiary is not eligible (out of the programme area)!</t>
  </si>
  <si>
    <t>* Only in case the project partner is not entitled for VAT refund (that is, the gross expenditure has been budgeted)!</t>
  </si>
  <si>
    <t>Total eligible costs expected</t>
  </si>
  <si>
    <t>Own contribution</t>
  </si>
  <si>
    <t>NUTS III region</t>
  </si>
  <si>
    <t>HR own contribution</t>
  </si>
  <si>
    <t>HU own contribution</t>
  </si>
  <si>
    <t>2.1 Salary of staff (project management and team members) - Calculation on Flat rate basis</t>
  </si>
  <si>
    <t>2.2 Salary of staff (project management and team members) - Calculation on Real costs basis</t>
  </si>
  <si>
    <r>
      <rPr>
        <b/>
        <u/>
        <sz val="10"/>
        <rFont val="Arial"/>
        <family val="2"/>
      </rPr>
      <t>Extra</t>
    </r>
    <r>
      <rPr>
        <b/>
        <sz val="10"/>
        <rFont val="Arial"/>
        <family val="2"/>
      </rPr>
      <t xml:space="preserve"> own contribution**:</t>
    </r>
  </si>
  <si>
    <t>Supporting stakeholders / authorities</t>
  </si>
  <si>
    <t>EU contribution</t>
  </si>
  <si>
    <t>Reference number of the call for proposals: HUHR/1601</t>
  </si>
  <si>
    <t>HUHR/1601/</t>
  </si>
  <si>
    <t xml:space="preserve">Interreg V-A Hungary-Croatia Co-operation Programme 2014-2020
</t>
  </si>
  <si>
    <t>Component</t>
  </si>
  <si>
    <t>6. Project Activities</t>
  </si>
  <si>
    <t>7. Indicators</t>
  </si>
  <si>
    <t>Permit required</t>
  </si>
  <si>
    <r>
      <rPr>
        <b/>
        <u/>
        <sz val="10"/>
        <rFont val="Arial"/>
        <family val="2"/>
      </rPr>
      <t>All related</t>
    </r>
    <r>
      <rPr>
        <b/>
        <sz val="10"/>
        <rFont val="Arial"/>
        <family val="2"/>
      </rPr>
      <t xml:space="preserve"> topographical (Lot) numbers </t>
    </r>
    <r>
      <rPr>
        <sz val="10"/>
        <rFont val="Arial"/>
        <family val="2"/>
        <charset val="238"/>
      </rPr>
      <t>(max. 250 characters)</t>
    </r>
  </si>
  <si>
    <r>
      <t xml:space="preserve">Description of work
</t>
    </r>
    <r>
      <rPr>
        <sz val="10"/>
        <rFont val="Arial"/>
        <family val="2"/>
        <charset val="238"/>
      </rPr>
      <t>(max. 200 characters)</t>
    </r>
  </si>
  <si>
    <t>12. Area of implementation, permits, location of works</t>
  </si>
  <si>
    <t>12.2 Location of works</t>
  </si>
  <si>
    <t>12.3 Permits</t>
  </si>
  <si>
    <t>11. Payment forecast</t>
  </si>
  <si>
    <t>10. Sources of funding</t>
  </si>
  <si>
    <t>9. Project budget summary</t>
  </si>
  <si>
    <t>8. Project budget per beneficiary</t>
  </si>
  <si>
    <t>EU tax number</t>
  </si>
  <si>
    <t>LB/B
(abbreviated name)</t>
  </si>
  <si>
    <t>List of beneficiaries</t>
  </si>
  <si>
    <t>Beneficiary (1)</t>
  </si>
  <si>
    <t>Beneficiary (2)</t>
  </si>
  <si>
    <t>Beneficiary (3)</t>
  </si>
  <si>
    <t>Beneficiary (4)</t>
  </si>
  <si>
    <t>Beneficiary (5)</t>
  </si>
  <si>
    <t>Beneficiary (6)</t>
  </si>
  <si>
    <t>Beneficiary (7)</t>
  </si>
  <si>
    <t>** No extra own contribution is expected to be given by any of the beneficiaries (LB and Bs) in general!</t>
  </si>
  <si>
    <t>LB/B \ Expenses incurred</t>
  </si>
  <si>
    <t>LB/B (abbreviated name)</t>
  </si>
  <si>
    <t>2.2    Beneficiary (1)</t>
  </si>
  <si>
    <t>Beneficiary is not in the eligible area of the programme!</t>
  </si>
  <si>
    <t>2.        Lead Beneficiary / Beneficiary data</t>
  </si>
  <si>
    <t>2.3    Beneficiary (2)</t>
  </si>
  <si>
    <t>2.4    Beneficiary (3)</t>
  </si>
  <si>
    <t>2.5    Beneficiary (4)</t>
  </si>
  <si>
    <t>2.6    Beneficiary (5)</t>
  </si>
  <si>
    <t>2.7    Beneficiary (6)</t>
  </si>
  <si>
    <t>2.8    Beneficiary (7)</t>
  </si>
  <si>
    <r>
      <t xml:space="preserve">Target value realized by LB/Bs </t>
    </r>
    <r>
      <rPr>
        <sz val="10"/>
        <rFont val="Arial"/>
        <family val="2"/>
        <charset val="238"/>
      </rPr>
      <t>and way of realization</t>
    </r>
    <r>
      <rPr>
        <b/>
        <sz val="10"/>
        <rFont val="Arial"/>
        <family val="2"/>
      </rPr>
      <t xml:space="preserve"> (max 250 chr)
</t>
    </r>
    <r>
      <rPr>
        <sz val="10"/>
        <rFont val="Arial"/>
        <family val="2"/>
        <charset val="238"/>
      </rPr>
      <t>(e.g LB: 200; B1 50; B2: 70; people participating in festival and fair; planned supporting documents)</t>
    </r>
  </si>
  <si>
    <t>Please describe in detail how the partnership is contributing to the achievement of the Programme level results. Please explain which of the planned project activities will ensure achieving the target values (programme result), how the achievement will be measured by the relevant Beneficiary / Beneficiaries (those that are listed above), what source of information will be used, how the achievement will be proved with evidence, what kind of supporting document will be provided during the reporting?</t>
  </si>
  <si>
    <r>
      <t xml:space="preserve">For the Lead Beneficiary/Beneficiaries it is </t>
    </r>
    <r>
      <rPr>
        <u/>
        <sz val="10"/>
        <rFont val="Arial"/>
        <family val="2"/>
        <charset val="238"/>
      </rPr>
      <t>obligatory to set target value for at least one</t>
    </r>
    <r>
      <rPr>
        <sz val="10"/>
        <rFont val="Arial"/>
        <family val="2"/>
        <charset val="238"/>
      </rPr>
      <t xml:space="preserve"> Programme output indicator from the offered list and explain as requested.</t>
    </r>
  </si>
  <si>
    <t>Component specific indicators</t>
  </si>
  <si>
    <r>
      <t>5.3</t>
    </r>
    <r>
      <rPr>
        <b/>
        <sz val="7"/>
        <rFont val="Arial"/>
        <family val="2"/>
      </rPr>
      <t xml:space="preserve">    </t>
    </r>
    <r>
      <rPr>
        <b/>
        <sz val="11"/>
        <rFont val="Arial"/>
        <family val="2"/>
      </rPr>
      <t xml:space="preserve"> Component specific aspects, information</t>
    </r>
  </si>
  <si>
    <r>
      <t>Lead Beneficiary/Beneficiaries are highly recommended to contribute to the Programme results. In case the project can contribute directly to the Programme result indicator,</t>
    </r>
    <r>
      <rPr>
        <u/>
        <sz val="10"/>
        <rFont val="Arial"/>
        <family val="2"/>
        <charset val="238"/>
      </rPr>
      <t xml:space="preserve"> target value should be defined and explained as requested using the text box as well</t>
    </r>
    <r>
      <rPr>
        <sz val="10"/>
        <rFont val="Arial"/>
        <family val="2"/>
        <charset val="238"/>
      </rPr>
      <t xml:space="preserve">. In those cases when the project by its nature cannot set target value, </t>
    </r>
    <r>
      <rPr>
        <u/>
        <sz val="10"/>
        <rFont val="Arial"/>
        <family val="2"/>
        <charset val="238"/>
      </rPr>
      <t>only the textbox has to be used</t>
    </r>
    <r>
      <rPr>
        <sz val="10"/>
        <rFont val="Arial"/>
        <family val="2"/>
        <charset val="238"/>
      </rPr>
      <t xml:space="preserve"> for explaining how the project is indirectly contributing to the given Programme result indicator.</t>
    </r>
  </si>
  <si>
    <t>WEB</t>
  </si>
  <si>
    <t>13. Information and publicity</t>
  </si>
  <si>
    <t>EVENTS (e.g. opening/closing conference, workshops, fairs, information days etc.)</t>
  </si>
  <si>
    <t>PROMOTIONAL MATERIALS (e.g. leaflets, brochures, publications)</t>
  </si>
  <si>
    <t>MASS MEDIA (newspaper articles, TV/radio coverage, press release/conference)</t>
  </si>
  <si>
    <r>
      <t xml:space="preserve">Target groups
</t>
    </r>
    <r>
      <rPr>
        <sz val="10"/>
        <rFont val="Arial"/>
        <family val="2"/>
        <charset val="238"/>
      </rPr>
      <t xml:space="preserve">and planned number of persons reached
(max. 200 characters) </t>
    </r>
  </si>
  <si>
    <r>
      <t xml:space="preserve">Short description (including planned responsible LB/Bs, used languages)
</t>
    </r>
    <r>
      <rPr>
        <sz val="10"/>
        <rFont val="Arial"/>
        <family val="2"/>
        <charset val="238"/>
      </rPr>
      <t>(max. 500 characters)</t>
    </r>
  </si>
  <si>
    <r>
      <t xml:space="preserve">Information and publicity activities 
</t>
    </r>
    <r>
      <rPr>
        <sz val="10"/>
        <rFont val="Arial"/>
        <family val="2"/>
        <charset val="238"/>
      </rPr>
      <t>- more item can be included in one row</t>
    </r>
    <r>
      <rPr>
        <b/>
        <sz val="10"/>
        <rFont val="Arial"/>
        <family val="2"/>
      </rPr>
      <t xml:space="preserve">
</t>
    </r>
    <r>
      <rPr>
        <sz val="10"/>
        <rFont val="Arial"/>
        <family val="2"/>
        <charset val="238"/>
      </rPr>
      <t xml:space="preserve">(max. 200 characters) </t>
    </r>
  </si>
  <si>
    <t>14. Project staff</t>
  </si>
  <si>
    <t xml:space="preserve">LB/B </t>
  </si>
  <si>
    <r>
      <rPr>
        <b/>
        <u/>
        <sz val="10"/>
        <rFont val="Arial"/>
        <family val="2"/>
      </rPr>
      <t>Position</t>
    </r>
    <r>
      <rPr>
        <b/>
        <sz val="10"/>
        <rFont val="Arial"/>
        <family val="2"/>
      </rPr>
      <t xml:space="preserve"> </t>
    </r>
    <r>
      <rPr>
        <sz val="10"/>
        <rFont val="Arial"/>
        <family val="2"/>
        <charset val="238"/>
      </rPr>
      <t>(max. 250 characters)</t>
    </r>
  </si>
  <si>
    <r>
      <t>Related project activities:</t>
    </r>
    <r>
      <rPr>
        <sz val="10"/>
        <rFont val="Arial"/>
        <family val="2"/>
        <charset val="238"/>
      </rPr>
      <t xml:space="preserve"> (no. only)</t>
    </r>
  </si>
  <si>
    <t>Project duration is not in line with the time limit for the selected component!</t>
  </si>
  <si>
    <t>component</t>
  </si>
  <si>
    <t>In line with the objectives of the Programme/component</t>
  </si>
  <si>
    <t>Other Activity/component specific</t>
  </si>
  <si>
    <t>Contribution to the objectives of the Programme / component</t>
  </si>
  <si>
    <t>*** Only for information purposes, based on the Programme specific rules. Neither the Managing Authority nor the Lead Beneficiary is responsible for providing for national contribution in the frame of the Community funding subsidy contract. The amount of national contribution is to be set in the contract on national contribution.</t>
  </si>
  <si>
    <t>HU national contribution</t>
  </si>
  <si>
    <t>HR national contribution</t>
  </si>
  <si>
    <t>National contribution</t>
  </si>
  <si>
    <t>Beneficiary \ EU contribution</t>
  </si>
  <si>
    <t>2.1 Convert the region’s natural and cultural heritage assets to tourism attractions with income generating capabilities</t>
  </si>
  <si>
    <t>2.1.1. Bicycle paths</t>
  </si>
  <si>
    <t>2.1.2. Tourism attractions</t>
  </si>
  <si>
    <t>2.1.3. Thematic routes and other tourism products</t>
  </si>
  <si>
    <t>2.2 Restoring the ecological diversity in the border area</t>
  </si>
  <si>
    <t>2.2.1 Restoring the ecological diversity in the border area</t>
  </si>
  <si>
    <t>3 CO-OPERATION</t>
  </si>
  <si>
    <t>2 SUSTAINABLE USE OF NATURAL AND CULTURAL ASSETS</t>
  </si>
  <si>
    <t>3.1 Involvement of more social and institutional actors in cross-border cooperation</t>
  </si>
  <si>
    <t>3.1.1. Thematic co-operation</t>
  </si>
  <si>
    <t>3.1.2. People-to-people co-operation</t>
  </si>
  <si>
    <t>4 EDUCATION</t>
  </si>
  <si>
    <t>4.1 Improve the role of educational institutions as intellectual centres for increasing the specific local knowledge-base in the region</t>
  </si>
  <si>
    <t>4.1.1. Co-operation in higher education</t>
  </si>
  <si>
    <t>4.1.2. Co-operation in preschool, primary and secondary education and adult education</t>
  </si>
  <si>
    <t>other region (specified in NUTSV column)</t>
  </si>
  <si>
    <t>other country (specified in NUTSV column)</t>
  </si>
  <si>
    <t>For-profit organisation of state or local government</t>
  </si>
  <si>
    <t>EGTC</t>
  </si>
  <si>
    <t>Telephone/ Mobile number</t>
  </si>
  <si>
    <t>Mobile</t>
  </si>
  <si>
    <r>
      <t xml:space="preserve">Programme result indicator of the selected Component 
</t>
    </r>
    <r>
      <rPr>
        <sz val="10"/>
        <rFont val="Arial"/>
        <family val="2"/>
        <charset val="238"/>
      </rPr>
      <t>(defined to the Investment Priority)</t>
    </r>
  </si>
  <si>
    <r>
      <t xml:space="preserve">Programme output indicator(s) of the selected Component 
</t>
    </r>
    <r>
      <rPr>
        <sz val="10"/>
        <rFont val="Arial"/>
        <family val="2"/>
        <charset val="238"/>
      </rPr>
      <t>(defined to the Investment Priority)</t>
    </r>
  </si>
  <si>
    <t>National contribution***</t>
  </si>
  <si>
    <t>Number of people directly benefiting from the project (e.g. participants of events, trainings, workshops, etc.)</t>
  </si>
  <si>
    <t xml:space="preserve">Number of project events (conference, workshop, meeting, seminar, study tour, exchange programs etc.) </t>
  </si>
  <si>
    <t>Number of jobs created/kept by the project</t>
  </si>
  <si>
    <t>Number of newly established/developed JOINT project homepage</t>
  </si>
  <si>
    <t>Number of newly established/deceloped JOINT mobile application</t>
  </si>
  <si>
    <t>Number of communication managers designated at the LB/B in the partnership</t>
  </si>
  <si>
    <t>No.</t>
  </si>
  <si>
    <t>Project specific 1</t>
  </si>
  <si>
    <t>Project specific 2</t>
  </si>
  <si>
    <t>Project specific 3</t>
  </si>
  <si>
    <t>Project specific 4</t>
  </si>
  <si>
    <t>Project specific 5</t>
  </si>
  <si>
    <t>G1</t>
  </si>
  <si>
    <t>G2</t>
  </si>
  <si>
    <t>G3</t>
  </si>
  <si>
    <t>G4</t>
  </si>
  <si>
    <t>G5</t>
  </si>
  <si>
    <t>G6</t>
  </si>
  <si>
    <t>G7</t>
  </si>
  <si>
    <t>G8</t>
  </si>
  <si>
    <t>G9</t>
  </si>
  <si>
    <t>G10</t>
  </si>
  <si>
    <t>G11</t>
  </si>
  <si>
    <t>Number of Beneficiaries using renewable energy resources in the project</t>
  </si>
  <si>
    <t>Number of locations where renewable energy resources are introduced by the project</t>
  </si>
  <si>
    <t>Number of awareness rising events (workshops, trainings, educational programmes) targeting or promoting sustainable development, environmental education and natural assets</t>
  </si>
  <si>
    <t>Number of awareness rising events (workshops, trainings, educational programmes) targeting or promoting cultural values in the border region</t>
  </si>
  <si>
    <t>Number of project activities/events involving marginalized communities (minorities, Roma people,disadvantages people, refugees, and/or people with disabilities)</t>
  </si>
  <si>
    <t>Number of project activities/events in connection with equal opportunities and gender equality</t>
  </si>
  <si>
    <t>H1</t>
  </si>
  <si>
    <t>H2</t>
  </si>
  <si>
    <t>H3</t>
  </si>
  <si>
    <t>H4</t>
  </si>
  <si>
    <t>H5</t>
  </si>
  <si>
    <t>H6</t>
  </si>
  <si>
    <t>Number of guest nights generated by the project in Zone B (defined by the Handbook to Tourism Projects in the Hungary-Croatia IPA Cross-border Co-operation Programme 2007-2013)</t>
  </si>
  <si>
    <t>nights</t>
  </si>
  <si>
    <t xml:space="preserve">Total surface area of rehabilitated land </t>
  </si>
  <si>
    <t>ha</t>
  </si>
  <si>
    <t>Number of visitors attracted to the cultural or natural heritage sites developed by the project</t>
  </si>
  <si>
    <t>Number of tourism service providers being certified as environmental friendly</t>
  </si>
  <si>
    <t>Length of bicycle path paved (and designated) newly</t>
  </si>
  <si>
    <t>Length of existing bicycle paths designated by signs</t>
  </si>
  <si>
    <t>Length of developed sections of the European bicycle rout network (EuroVelo 6 and EroVelo 13)</t>
  </si>
  <si>
    <t>New or improved connections to the European bicycle rout network (EuroVelo 6 and EroVelo 13)</t>
  </si>
  <si>
    <t>Number of touristic attractions made accessible by the project</t>
  </si>
  <si>
    <t>Number of visitor centres / information points newly established or developed by the project</t>
  </si>
  <si>
    <t>Number of newly established/renovated tourist attractions, sites</t>
  </si>
  <si>
    <t>Number of thematic routes in the project</t>
  </si>
  <si>
    <t>Length of thematic routes newly established/developed by the project (e.g.: bike, greenways, hiking paths, pilgrim, gastro, wine, equestrian etc.)</t>
  </si>
  <si>
    <t>Size of refurbished cultural / natural heritage site(s)</t>
  </si>
  <si>
    <t>Number of information boards, interactive panels set up by the project</t>
  </si>
  <si>
    <t>Number of new/developed cultural events in the project</t>
  </si>
  <si>
    <t>Number of locations where new/developed cycling tourism services are to be established</t>
  </si>
  <si>
    <t>Number of trainings to promote environmental consciousness of visitors and/or local tourism service providers</t>
  </si>
  <si>
    <t>Volume of eliminated illegal landfills (dumped garbage and trash)</t>
  </si>
  <si>
    <t>m3</t>
  </si>
  <si>
    <t>Size of area where indigenous species are introduced / reintroduced by the project</t>
  </si>
  <si>
    <t>Number of invasive species removed by the project (number of species)</t>
  </si>
  <si>
    <t>Size of former industrial or agricultural sites transformed into cultural sites by the project</t>
  </si>
  <si>
    <t>2.1</t>
  </si>
  <si>
    <t>C1</t>
  </si>
  <si>
    <t>C2</t>
  </si>
  <si>
    <t>C3</t>
  </si>
  <si>
    <t>C4</t>
  </si>
  <si>
    <t>C5</t>
  </si>
  <si>
    <t>C6</t>
  </si>
  <si>
    <t>C7</t>
  </si>
  <si>
    <t>C8</t>
  </si>
  <si>
    <t>C9</t>
  </si>
  <si>
    <t>C10</t>
  </si>
  <si>
    <t>C11</t>
  </si>
  <si>
    <t>C12</t>
  </si>
  <si>
    <t>C13</t>
  </si>
  <si>
    <t>C14</t>
  </si>
  <si>
    <t>C15</t>
  </si>
  <si>
    <t>C16</t>
  </si>
  <si>
    <t>C17</t>
  </si>
  <si>
    <t>C18</t>
  </si>
  <si>
    <t>SO1</t>
  </si>
  <si>
    <t>SO2</t>
  </si>
  <si>
    <t>SO3</t>
  </si>
  <si>
    <t>SO4</t>
  </si>
  <si>
    <t>SO5</t>
  </si>
  <si>
    <t>2.2</t>
  </si>
  <si>
    <t>Number of habitats reaching ‘A: excellent conservation’ status  by the project (in particularly the selected Special Bird Protection Areas)</t>
  </si>
  <si>
    <t>Size of habitats where better conservation status reached by the project</t>
  </si>
  <si>
    <t>Number of participants in  JOINT education trainings and awareness raising programs</t>
  </si>
  <si>
    <t>Number of JOINT environmental related studies elaborated by the project</t>
  </si>
  <si>
    <t>Size of area of developed/improved/rehabilitated landscape in a sustainable way</t>
  </si>
  <si>
    <t>km2</t>
  </si>
  <si>
    <t>Size of newly established or developed protected area (biosphere reserves, NATURA 2000, protected areas)</t>
  </si>
  <si>
    <t>Length of riverbank affected by the project</t>
  </si>
  <si>
    <t>rkm</t>
  </si>
  <si>
    <t>Volume of restored polluted/contaminated soil</t>
  </si>
  <si>
    <t>Size of wetland developed by the project</t>
  </si>
  <si>
    <t>Size of forest developed by the project</t>
  </si>
  <si>
    <t>Number of protected species influenced positively by the project</t>
  </si>
  <si>
    <t>Length of green infrastructure established/developed by the project</t>
  </si>
  <si>
    <t>Size of territory where sustainable land use is introduced by the project</t>
  </si>
  <si>
    <t>Size of rehabilitated former industrial sites (grey or brown sites)</t>
  </si>
  <si>
    <t>Size of area where clearing away non-endemic vegetation or invasive species is applied by the project</t>
  </si>
  <si>
    <t>Number of bird/animal watching sites established in the project</t>
  </si>
  <si>
    <t xml:space="preserve">Number of nature conservation organizations involved in the project </t>
  </si>
  <si>
    <t>3.1</t>
  </si>
  <si>
    <t>Number of entities participating in cross-border networks and bilateral co-operations</t>
  </si>
  <si>
    <t>Number of institutions participating in  JOINT capacity building activities</t>
  </si>
  <si>
    <t xml:space="preserve">Number of harmonized processes, shared initiatives, coordinated policies developed  JOINTLY </t>
  </si>
  <si>
    <t>Number of participants in  JOINT capacity building activities</t>
  </si>
  <si>
    <t>4.1</t>
  </si>
  <si>
    <t>Number of new methods and forums for knowledge transfer established by the project</t>
  </si>
  <si>
    <t>Number of labor market institutions taking part in newly established/developed networks/co-operations</t>
  </si>
  <si>
    <t xml:space="preserve">Number of newly introduced/developed health/social care services </t>
  </si>
  <si>
    <t>Number of language courses fostering HU-HR languages</t>
  </si>
  <si>
    <t>Number of sport events in the project</t>
  </si>
  <si>
    <t>Number of cultural events in the project</t>
  </si>
  <si>
    <t xml:space="preserve">Number of capacity building training and educations for stakeholders delivering social services (e.g.: education, sport, healthcare etc.) </t>
  </si>
  <si>
    <t xml:space="preserve">Number of educational institutions in the project that offer courses  JOINTLY or with region- or neighbouring country-specific content </t>
  </si>
  <si>
    <t xml:space="preserve"> JOINT training courses developed and delivered (formal and informal)</t>
  </si>
  <si>
    <t xml:space="preserve">Number of educational premises refurbished </t>
  </si>
  <si>
    <t>Number of educational premises upgraded with technical equipment</t>
  </si>
  <si>
    <t>Number of participants in  JOINT education and training programs to support youth employment, educational opportunities and higher and vocational education across borders</t>
  </si>
  <si>
    <t>Number of involved marginalised persons in training programs</t>
  </si>
  <si>
    <t>SO6</t>
  </si>
  <si>
    <t xml:space="preserve">Number of unemployed people participating in  JOINT training programs </t>
  </si>
  <si>
    <t xml:space="preserve">Number of educational materials developed (curricula, e-learning material, books, e-books etc.)  </t>
  </si>
  <si>
    <t xml:space="preserve">Number of newly established/developed JOINT life-long learning training modules </t>
  </si>
  <si>
    <t>Number of  participants involved in JOINT programs for apprentices (dual vocational educational programs)</t>
  </si>
  <si>
    <t>Number of kindergartens involved in the project</t>
  </si>
  <si>
    <t>Number of elementary schools involved in the project</t>
  </si>
  <si>
    <t>Number of secondary schools involved in the project</t>
  </si>
  <si>
    <t>Number of higher education institutions (e.g.: universities) involved in the project</t>
  </si>
  <si>
    <t>Number of cross-border internships, scholarships, placements established by the project</t>
  </si>
  <si>
    <t>Number of schools establishing new or developing old twin-school cooperations across the border</t>
  </si>
  <si>
    <t>Number of  JOINT capacity building events for teachers</t>
  </si>
  <si>
    <t>Number of  JOINT educational events organized for Roma people</t>
  </si>
  <si>
    <t>Number of libraries taking part in the project</t>
  </si>
  <si>
    <t>Number of cultural centres taking part in the project</t>
  </si>
  <si>
    <t>Number of  JOINT non-formal educational events in the project</t>
  </si>
  <si>
    <r>
      <t xml:space="preserve">List of underpinning documents (e.g. maps, plans) showing the affected area
</t>
    </r>
    <r>
      <rPr>
        <sz val="10"/>
        <rFont val="Arial"/>
        <family val="2"/>
        <charset val="238"/>
      </rPr>
      <t>(max. 500 characters)</t>
    </r>
  </si>
  <si>
    <t>LB/B(abbreviated name)</t>
  </si>
  <si>
    <t>LB</t>
  </si>
  <si>
    <t>B1</t>
  </si>
  <si>
    <t>B2</t>
  </si>
  <si>
    <t>B3</t>
  </si>
  <si>
    <t>B4</t>
  </si>
  <si>
    <t>B5</t>
  </si>
  <si>
    <t>B6</t>
  </si>
  <si>
    <t>B7</t>
  </si>
  <si>
    <t>2.1.1</t>
  </si>
  <si>
    <r>
      <rPr>
        <b/>
        <u/>
        <sz val="10"/>
        <rFont val="Arial"/>
        <family val="2"/>
      </rPr>
      <t>All settlements</t>
    </r>
    <r>
      <rPr>
        <b/>
        <sz val="10"/>
        <rFont val="Arial"/>
        <family val="2"/>
      </rPr>
      <t xml:space="preserve"> affected by the project
</t>
    </r>
    <r>
      <rPr>
        <sz val="10"/>
        <rFont val="Arial"/>
        <family val="2"/>
        <charset val="238"/>
      </rPr>
      <t>(projects in component 2.1.1, 2.1.2, 2.1.3 has to identify the Zone of implementation according to the Handbook to Tourism Projects as well)</t>
    </r>
    <r>
      <rPr>
        <b/>
        <sz val="10"/>
        <rFont val="Arial"/>
        <family val="2"/>
      </rPr>
      <t xml:space="preserve">
</t>
    </r>
    <r>
      <rPr>
        <sz val="10"/>
        <rFont val="Arial"/>
        <family val="2"/>
        <charset val="238"/>
      </rPr>
      <t>(max. 1000 characters)</t>
    </r>
  </si>
  <si>
    <r>
      <t>12.1 Area of implementation</t>
    </r>
    <r>
      <rPr>
        <sz val="11"/>
        <rFont val="Arial"/>
        <family val="2"/>
      </rPr>
      <t xml:space="preserve"> (for projects affecting certain geographical area / having territorial influance; projects in component 2.1.1, 2.1.2, 2.1.3) </t>
    </r>
  </si>
  <si>
    <t>Approx. deadline for reporting (to JS)</t>
  </si>
  <si>
    <t>extra</t>
  </si>
  <si>
    <t>HA(ÉS(C42=1;(C27-C17)&gt;0);HA(C43=$A$46;HA(C17&gt;C27*0,15;0;(C27*0,15-C17);HA(C17&gt;C27*0,1;0;(C27*0,1-C17))));0)</t>
  </si>
  <si>
    <t>In case Salary of staff is calculated on Flat rate basis (BL 2.1 &gt;0) - no costs can be planned on BL 4 Travel and accommodation costs!</t>
  </si>
  <si>
    <t>8.</t>
  </si>
  <si>
    <t>17.</t>
  </si>
  <si>
    <t>18.</t>
  </si>
  <si>
    <t>19.</t>
  </si>
  <si>
    <t>20.</t>
  </si>
  <si>
    <r>
      <rPr>
        <b/>
        <sz val="9"/>
        <rFont val="Arial"/>
        <family val="2"/>
      </rPr>
      <t xml:space="preserve">Activities within the project </t>
    </r>
    <r>
      <rPr>
        <sz val="9"/>
        <rFont val="Arial"/>
        <family val="2"/>
      </rPr>
      <t xml:space="preserve">
(max. 120 chr.)</t>
    </r>
  </si>
  <si>
    <r>
      <rPr>
        <b/>
        <sz val="9"/>
        <rFont val="Arial"/>
        <family val="2"/>
      </rPr>
      <t>Description of activity</t>
    </r>
    <r>
      <rPr>
        <sz val="9"/>
        <rFont val="Arial"/>
        <family val="2"/>
      </rPr>
      <t xml:space="preserve"> 
(max. 500 chr.)</t>
    </r>
  </si>
  <si>
    <r>
      <rPr>
        <b/>
        <sz val="9"/>
        <rFont val="Arial"/>
        <family val="2"/>
      </rPr>
      <t xml:space="preserve">Direct target groups </t>
    </r>
    <r>
      <rPr>
        <sz val="9"/>
        <rFont val="Arial"/>
        <family val="2"/>
      </rPr>
      <t xml:space="preserve">
(max. 120 chr.)</t>
    </r>
  </si>
  <si>
    <r>
      <rPr>
        <b/>
        <sz val="9"/>
        <rFont val="Arial"/>
        <family val="2"/>
      </rPr>
      <t xml:space="preserve">Estimated costs 
</t>
    </r>
    <r>
      <rPr>
        <sz val="9"/>
        <rFont val="Arial"/>
        <family val="2"/>
      </rPr>
      <t>(EUR)</t>
    </r>
  </si>
  <si>
    <r>
      <rPr>
        <b/>
        <sz val="9"/>
        <rFont val="Arial"/>
        <family val="2"/>
      </rPr>
      <t>Responsible</t>
    </r>
    <r>
      <rPr>
        <sz val="9"/>
        <rFont val="Arial"/>
        <family val="2"/>
      </rPr>
      <t xml:space="preserve"> Beneficiary organisation(s) where costs incur
(max. 120 chr.)</t>
    </r>
  </si>
  <si>
    <r>
      <rPr>
        <b/>
        <sz val="9"/>
        <rFont val="Arial"/>
        <family val="2"/>
      </rPr>
      <t xml:space="preserve">Relevant implementation periods </t>
    </r>
    <r>
      <rPr>
        <sz val="9"/>
        <rFont val="Arial"/>
        <family val="2"/>
      </rPr>
      <t>- or planned timing
(max. 50 chr.)</t>
    </r>
  </si>
  <si>
    <t>21.</t>
  </si>
  <si>
    <t>22.</t>
  </si>
  <si>
    <t>23.</t>
  </si>
  <si>
    <t>24.</t>
  </si>
  <si>
    <t>Name of item (min. requirement: planned content; indicative extent; language versions)</t>
  </si>
  <si>
    <t>Project Activity</t>
  </si>
  <si>
    <r>
      <t xml:space="preserve">IMPORTANT NOTE:
</t>
    </r>
    <r>
      <rPr>
        <sz val="10"/>
        <rFont val="Arial"/>
        <family val="2"/>
        <charset val="238"/>
      </rPr>
      <t xml:space="preserve">Projects not exceeding 500 000 EUR are obliged to place at least one poster with information about the project (minimum size A3), including the financial support from the EU, at a location readily visible to the public such as the entrance area of a building.                                                                                                                                                                                                                                                                                                                                                                Projects that finance infrastructure or construction have specific obligatory requirements and are obliged to put up the billboard and permanent explanatory plaque on the site of the activity. Please note that you should label every single piece of equipment purchased through the present Programme with the sticker. (Further information you can find in Chapter 6.2.3 Communication requirements towards projects of the Guidelines for Applicants.)
</t>
    </r>
    <r>
      <rPr>
        <b/>
        <sz val="10"/>
        <rFont val="Arial"/>
        <family val="2"/>
      </rPr>
      <t>Please make sure that the necessary costs of the Information and Publicity activities are planned within the budget of the relevant Beneficiary!</t>
    </r>
  </si>
  <si>
    <t>15. Certification</t>
  </si>
  <si>
    <r>
      <t xml:space="preserve">a)      Background 
</t>
    </r>
    <r>
      <rPr>
        <i/>
        <sz val="10"/>
        <rFont val="Arial"/>
        <family val="2"/>
        <charset val="238"/>
      </rPr>
      <t>Motivation for proposing the project: preparations already carried out in relation to the project. Finished projects that serve as background or starting point towards the present project: explorations, surveys, studies, other documents or an earlier stage of an investment which are related to the preparation of this project. (max. 2000 characters)</t>
    </r>
  </si>
  <si>
    <t>Please describe the added value of your project on the level of its target groups. (max. 1000 characters)</t>
  </si>
  <si>
    <t>Please present how your project will serve the benefit of the public. (max. 1000 characters)</t>
  </si>
  <si>
    <r>
      <t xml:space="preserve">b)      Problem, challenge to be addressed
</t>
    </r>
    <r>
      <rPr>
        <i/>
        <sz val="10"/>
        <rFont val="Arial"/>
        <family val="2"/>
        <charset val="238"/>
      </rPr>
      <t>Justification of  the necessity of the project. Description of  problems with cross-border nature to be resolved and needs to be met, relating to the target area and/or group of people. The conclusions of already elaborated surveys on the subject can be referred to as to prove the importance of the project. (max. 2000 characters)</t>
    </r>
  </si>
  <si>
    <r>
      <t xml:space="preserve">c)      Target groups
</t>
    </r>
    <r>
      <rPr>
        <i/>
        <sz val="10"/>
        <rFont val="Arial"/>
        <family val="2"/>
        <charset val="238"/>
      </rPr>
      <t>Identification and justification of the target-groups of the project. Target-groups directly and indirectly benefiting from the project. (max. 2000 characters)</t>
    </r>
  </si>
  <si>
    <r>
      <t xml:space="preserve">d)      Objectives of the project
</t>
    </r>
    <r>
      <rPr>
        <i/>
        <sz val="10"/>
        <rFont val="Arial"/>
        <family val="2"/>
        <charset val="238"/>
      </rPr>
      <t>Description of  the overall objectives of the project. It should reveal connection between the project and the component. Short and long term perspectives that a project may contribute to. Specific (and secondary) objectives that will be reached during project implementation. The objectives have to be measurable by indicators. (max. 2000 characters)</t>
    </r>
  </si>
  <si>
    <r>
      <t xml:space="preserve">e)      Expected outputs, results; durability of results
</t>
    </r>
    <r>
      <rPr>
        <i/>
        <sz val="10"/>
        <rFont val="Arial"/>
        <family val="2"/>
        <charset val="238"/>
      </rPr>
      <t>Description of planned outputs (tangible goods, services, infrastructure) and expected results. It has to be in harmony with the indicators given in another sheet.  (max. 2000 character)</t>
    </r>
    <r>
      <rPr>
        <b/>
        <i/>
        <sz val="10"/>
        <rFont val="Arial"/>
        <family val="2"/>
      </rPr>
      <t xml:space="preserve"> </t>
    </r>
  </si>
  <si>
    <r>
      <t xml:space="preserve">h)      Innovative character
</t>
    </r>
    <r>
      <rPr>
        <i/>
        <sz val="10"/>
        <rFont val="Arial"/>
        <family val="2"/>
        <charset val="238"/>
      </rPr>
      <t>Description of added value and innovative elements of the project. New technologies or new solutions by which the project objectives can be reached more efficiently compared to usual initiatives and by which the project can create best practices in the field.  (max. 2000 characters)</t>
    </r>
  </si>
  <si>
    <r>
      <t xml:space="preserve">i)      Sustainability and capitalization of project results
</t>
    </r>
    <r>
      <rPr>
        <i/>
        <sz val="10"/>
        <rFont val="Arial"/>
        <family val="2"/>
        <charset val="238"/>
      </rPr>
      <t>After project closure sustainability period of minimum 5 years starts.  Description of how  the professional, financial and institutional sustainability of the project will be assured.  (max. 2000 characters)</t>
    </r>
  </si>
  <si>
    <r>
      <t xml:space="preserve">j)      Multiplier effect
</t>
    </r>
    <r>
      <rPr>
        <i/>
        <sz val="10"/>
        <rFont val="Arial"/>
        <family val="2"/>
        <charset val="238"/>
      </rPr>
      <t>Short description of  the possibilities for replication and extension of the outcomes. Ideas and plans how to carry on with the development (if there is any) after project closure. (max. 2000 characters)</t>
    </r>
  </si>
  <si>
    <r>
      <t xml:space="preserve">k)      Risk management (possible internal/external constraints and solutions foreseen)
</t>
    </r>
    <r>
      <rPr>
        <i/>
        <sz val="10"/>
        <rFont val="Arial"/>
        <family val="2"/>
        <charset val="238"/>
      </rPr>
      <t xml:space="preserve">Description of possible general risk factors (e.g. financial, organizational, etc.) the project will face, and the specific risks and obstacles in connection with the project activities. Their probability, the impact on project activities in case of emergence, and the measures to handle them.    (max. 2000 characters)    </t>
    </r>
  </si>
  <si>
    <r>
      <t xml:space="preserve">l)      Cross-border impact
</t>
    </r>
    <r>
      <rPr>
        <i/>
        <sz val="10"/>
        <rFont val="Arial"/>
        <family val="2"/>
        <charset val="238"/>
      </rPr>
      <t>Measurable impacts that  will be generated by the project on either side of the border. A long lasting social/economical/environmental effect, consequence directly linked to the implemented project. (max. 2000 characters)</t>
    </r>
  </si>
  <si>
    <r>
      <t xml:space="preserve">a)      Consistency of the project with EU horizontal principles on equal opportunities and non-discrimination 
</t>
    </r>
    <r>
      <rPr>
        <i/>
        <sz val="10"/>
        <rFont val="Arial"/>
        <family val="2"/>
        <charset val="238"/>
      </rPr>
      <t>Projects should contribute to the horizontal principle of equal opportunities and non-discrimination (see Chapter 4.4 HORIZONTAL POLICIES of the Guidelines for Applicants). Please describe in detail how your organisation/project contributes to the needs of the chosen target-group and in what form. Identify how you can help and promote the integration of disadvantaged people, and what is the benefit of the project for them. Please, indicate which beneficiary organisation(s) will be responsible for the activity planned and what measurable output/result will be realised.    (max. 2000 characters)</t>
    </r>
  </si>
  <si>
    <r>
      <rPr>
        <b/>
        <i/>
        <sz val="10"/>
        <rFont val="Arial"/>
        <family val="2"/>
      </rPr>
      <t>b)       Consistency of the project with EU horizontal principles on sustainable development</t>
    </r>
    <r>
      <rPr>
        <i/>
        <sz val="10"/>
        <rFont val="Arial"/>
        <family val="2"/>
        <charset val="238"/>
      </rPr>
      <t xml:space="preserve">
Projects has to contribute to the horizontal principle of sustainable development. Please describe in detail how your organisation/project contributes to sustainable development, and in what form. Identify what impact your project has on the environment, and in what extent. Please, indicate which beneficiary organisation(s) will be responsible for the planned activity and what measurable output/result will be realised.(max. 2000 characters):                                                           </t>
    </r>
  </si>
  <si>
    <r>
      <t xml:space="preserve">c)      Synergies with macro-regional strategies, other policies, programmes and projects
</t>
    </r>
    <r>
      <rPr>
        <i/>
        <sz val="10"/>
        <rFont val="Arial"/>
        <family val="2"/>
        <charset val="238"/>
      </rPr>
      <t>Synergy of the planned project with other EU funded projects or other development initiatives in the relevant field  located in the geographical vicinity which are finished or under implementation. How are they complementing each other?  (max. 2000 characters)</t>
    </r>
  </si>
  <si>
    <t>Please describe the rationale and relevance of the proposed project Summary of the project. Justification for the proposed component and its contribution to the overall and specific objectives of the Programme. Location, duration, target groups and the role of responsible partners. Expected outputs to be realised and results to be achieved. Cross-border character and benefit of the proposed project. 
(max. 4000 characters, - in 4 cells 1000 characters in each, to avoid format problems)</t>
  </si>
  <si>
    <t>For projects with no other direct costs but infrastructure and works, or implemented exclusively through public procurement it is not possible to choose the staff flat rate option!</t>
  </si>
  <si>
    <r>
      <t xml:space="preserve">g)      Methodological approach
</t>
    </r>
    <r>
      <rPr>
        <i/>
        <sz val="10"/>
        <rFont val="Arial"/>
        <family val="2"/>
        <charset val="238"/>
      </rPr>
      <t>Detailed description of the method of the implementation, and reasons for the proposed methodology. Organisational structure for the implementation of the project. (max 2000 characters)</t>
    </r>
  </si>
  <si>
    <t>Connection with networks
Please present the connection(s) which will be created in the frame of the project with EuroVelo 6 or 13, national or local networks and with towns, or other significant tourism destinations.</t>
  </si>
  <si>
    <t>Quality of connection
Please describe the system of bicycle network (both HU and HR parts together) to be developed in the frame of the project and the contribution of the project to create a continous network. How the development solves the existing bottlenecks of the national or international bicycle networks?</t>
  </si>
  <si>
    <t>Conformity with tourism needs
Please describe the foreseen positive effects of the project on regional or local tourism and the connection to tourism attractions, products and touristic services (see also Handbook to Tourism Projects of the programme area).</t>
  </si>
  <si>
    <t>Accessibility and supplementary services
Please describe the general accessibility of the public to the bicycle paths to be developed (transport and public transport connections - distance from the main hubs) and those supplementary services that are developed in the frame of the project and will be provided on the affected section (information points, repair places, bicycle stands / storages, resting places etc.). Please also list separately those services that are already existing on the targeted area.</t>
  </si>
  <si>
    <t>Environmental protection requirements
Please present the measures, steps  the project is taking for the protection of the environment during its operation (in particular the preservation of the good status of the environment with special regard to water resources, the nature and the reduction of waste should be considered).</t>
  </si>
  <si>
    <t>Co-operation with local actors and special needs
a) Please describe the connection/co-operation with relevant tourism-related professional or societal organizations (e.g. local touristic attractions, local tourism service providers, local government, local supply networks etc.)
b) Please describe handling of the special needs of the target groups (seniors, children, families etc.) if there is any.</t>
  </si>
  <si>
    <t>Quality of connection
Please describe the thematic and physical  (local, regional) connection of the developed thematic routes and tourism services. Please present the 'soft' (e.g. joint product image, branding etc.) type of connection within the the developed thematic routes and tourism services.</t>
  </si>
  <si>
    <t>Effect on biodiversity
Please describe what kind of direct and indirect, short and long term effect(s) the project will have on the local biodiversity. 
Please refer to EU and/or national legislation in which the usage of the given method is duly justified and ascertain as appropriate and is not against of any environmental regulation.
Please list the indicator species.</t>
  </si>
  <si>
    <t>Accessibility, local community
a) Please describe the general accessibility of the area/place to be developed for the public (transport and public transport connections - distance from the main hubs; e-accessibility).
b) Please describe in detail what kind of effect the project will have on tourism destination management/accessibility of cultural and/or natural assets and on popularisation of the targeted cultural/natural values.
C) Please describe in details how the project will serve the local community.</t>
  </si>
  <si>
    <t>Presentation and conformity with tourism
a) In case of the project main activities / outputs are in general connected to a tourism attraction or touristic service (development of an attraction or connected service) please present details.
b) In case of the project main activities / outputs are connected to services for the public, or are considered integral part of thematic programs please present details.
c) Please describe the foreseen positive effects on regional or local tourism by the project and the connection to tourism attractions, products and touristic services (see also Handbook to Tourism Projects of the programme area).</t>
  </si>
  <si>
    <t>Conformity with EU and national directives, EU2020 strategy
Please describe in what way and in what extent your project proposal is in line with relevant EU directives  (e.g. Water Framework Directive - River Basin Management Plan both on national and Danube River Basin District levels, Habitat Directive, etc.). 
Please describe in what way and in what extent your project proposal is in line with the EU2020 strategy.</t>
  </si>
  <si>
    <t>3.1.1</t>
  </si>
  <si>
    <t>Effect on Programme area
Please define the geographical scope of the project results by defining the affected NUTSIII regions (counties) on AF sheet 12. Area of impl, and explain here how each of the given counties of the Programme area will be effected by the project results.</t>
  </si>
  <si>
    <t>Usage of the outputs
Please describe the utilization of the project outputs in practice. It is important to show which Beneficiaries will use the professional outputs directly or indirectly (e.g. for decision making, for reorganising institutional structures, for initiating new processes, etc.). In case development strategy(s) are elaborated as project outputs, please describe if it is planned to be approved officially and by which relevant Authority / Body.</t>
  </si>
  <si>
    <t>Joint implementation of activities
Please summarize the joint nature of the main 'thematic' type of project activities within the co-operation and highlight the added value coming from the joint implementation.</t>
  </si>
  <si>
    <t>Joint sustainment of achievements, results
Please describe how the achievements, project results will be sustained jointly after the closure of the project.</t>
  </si>
  <si>
    <t>Cooperation - new and old contacts
Please present the new and the old contacts within the project partnership on one hand from professional point of view and on the other hand from geographical point of view.</t>
  </si>
  <si>
    <t>3.1.2</t>
  </si>
  <si>
    <t xml:space="preserve">Novelty
Please describe the novelties of the project (new events, cooperation themes etc.) and define the level of it (e.g it is considered a novelty on local level, or in quality of the cooperation etc.). In case the project is building on earlier initiatives please describe the new elements compared to the already existing functions, events, actions, etc. </t>
  </si>
  <si>
    <t>Joint thematic activities
Please list the joint activities in the field of sport, art and the ones which are connected to local cultural or local natural values. Please be consistent with the activities given on AF sheet 6. Project Activities.</t>
  </si>
  <si>
    <t>Scope of importance
Please describe the capitalization of project results. What are the real potentials / effects of the project activities (events, programs etc.) on local, sub-regional or regional level?</t>
  </si>
  <si>
    <t>Bilingualism, minorities
Please describe which minorities and how will be involved in the project implementation; please describe the bilingual (HU-HR) aspects of project results and/or implementation, if any.</t>
  </si>
  <si>
    <t>4.1.1</t>
  </si>
  <si>
    <t>Joint educational / research program
Please explain main elements (concept) of the joint educational / research  program(s) by focusing on the time frame, exact content, specific needs/resources.</t>
  </si>
  <si>
    <t>a) Joint / exchange program
Please describe the time-frame and the circle of participants of the joint / exchange program  from both sides of the border.
b) Educational services
Please describe the main elements (including infrastructural developments, if any) of the educational services of each Beneficiary, explain the joint elements and notify in case the results are based on previous joint developments.</t>
  </si>
  <si>
    <t>Joint outputs
Please describe in detail what kind of joint educational outputs will be developed by the partnership:
a) Please describe what kind of joint training material(s) / curricula will be delivered by the project and in which language.
b) In case of the project plans to publish 'open access' publications please present the detailes and at least the forecasted number of publications.
c) In case of the project plans to develop new or renewed subject (based on local and/or cross cultural knowledge) please present the detailes and at least the forecasted number of publications.</t>
  </si>
  <si>
    <t>Partnership and sustainability of cooperation
Please explain the composition of the partnership, the role of each Beneficiary in the project and the perspective for the sustainability of the joint project results.</t>
  </si>
  <si>
    <t>a) Connection to the labour market
Please underpin how the project results will serve actual labour market demands.
b) Marginalised people and national minorities
Please describe what kind of and how the marginalized people and the national minorities will be involved in the project implementation.</t>
  </si>
  <si>
    <t>4.1.2</t>
  </si>
  <si>
    <t>Joint thematic activities
Please list the joint activities in the field of sport, art and the ones which are connected to local culture or education of tutors /  teachers / nurses . Please be consistent with the activities given on AF sheet 6. Project Activities.</t>
  </si>
  <si>
    <t>Educational services
Please describe the main elements (including infrastructural developments, if any) of the educational services of each Beneficiary, explain the joint elements and notify in case the results are based on previous joint developments.</t>
  </si>
  <si>
    <t>a) Joint training materials / curricula
Please describe what kind of joint training material(s) / curricula will be delivered by the project and in which language.
b) Joint / exchange program
Please describe the time-frame and the circle of participants of the joint / exchange program  from both sides of the border.</t>
  </si>
  <si>
    <t>a) Connection to the environment
Please underpin how the project is taking into consideration environmental awareness and natural values of the Programme area.
b) Marginalised people and national minorities
Please describe what kind of and how the marginalized people and the national minorities will be involved in the project implementation.</t>
  </si>
  <si>
    <r>
      <t>Level of innovation
Please describe why should the attraction(s) and/or service(s), product(s) created by the project be considered unique within the touristic offer of the destination and on which geographical scope (e.g. local / micro-regional / regional level). Please present the cultural and natural heritage(s) in case the innovation aims the valorisation of any</t>
    </r>
    <r>
      <rPr>
        <b/>
        <sz val="10"/>
        <rFont val="Arial CE"/>
        <charset val="238"/>
      </rPr>
      <t xml:space="preserve"> of those</t>
    </r>
    <r>
      <rPr>
        <sz val="10"/>
        <rFont val="Arial"/>
        <family val="2"/>
        <charset val="238"/>
      </rPr>
      <t>.</t>
    </r>
  </si>
  <si>
    <r>
      <t xml:space="preserve">Conformity with the thematic areas, complexity of tourism offer
Please describe the connection </t>
    </r>
    <r>
      <rPr>
        <b/>
        <sz val="10"/>
        <rFont val="Arial CE"/>
        <charset val="238"/>
      </rPr>
      <t xml:space="preserve">of the project developments </t>
    </r>
    <r>
      <rPr>
        <sz val="10"/>
        <rFont val="Arial"/>
        <family val="2"/>
        <charset val="238"/>
      </rPr>
      <t xml:space="preserve">to the tourism attractions and touristic products </t>
    </r>
    <r>
      <rPr>
        <b/>
        <sz val="10"/>
        <rFont val="Arial CE"/>
        <charset val="238"/>
      </rPr>
      <t>of the targeted area</t>
    </r>
    <r>
      <rPr>
        <sz val="10"/>
        <rFont val="Arial"/>
        <family val="2"/>
        <charset val="238"/>
      </rPr>
      <t xml:space="preserve"> (see also Handbook to Tourism Projects of the Programme area); define and describe the new services to be developed and complementary activities to be implemented </t>
    </r>
    <r>
      <rPr>
        <b/>
        <sz val="10"/>
        <rFont val="Arial CE"/>
        <charset val="238"/>
      </rPr>
      <t>in the frame of the projec</t>
    </r>
    <r>
      <rPr>
        <sz val="10"/>
        <rFont val="Arial"/>
        <family val="2"/>
        <charset val="238"/>
      </rPr>
      <t>t, which make touristic offer of the destination(s) more complex.</t>
    </r>
  </si>
  <si>
    <r>
      <t xml:space="preserve">Accessibility and seasonality
Please describe the general accessibility of the developments by the public (transport and public transport connections - distance from the main hubs) and the seasonal opening times / availability </t>
    </r>
    <r>
      <rPr>
        <b/>
        <sz val="10"/>
        <rFont val="Arial CE"/>
        <charset val="238"/>
      </rPr>
      <t>of the developed attractions /products /services</t>
    </r>
    <r>
      <rPr>
        <sz val="10"/>
        <rFont val="Arial"/>
        <family val="2"/>
        <charset val="238"/>
      </rPr>
      <t>.</t>
    </r>
  </si>
  <si>
    <r>
      <t xml:space="preserve">Level of innovation; Environmental protection
a) Please describe why should the attraction(s) and/or service(s), product(s) created by the project be considered unique within the touristic offer of the destination and on which geographical scope (e.g. local / micro-regional / regional level). Please present the cultural and natural heritage(s) in case the innovation aims the valorisation of any </t>
    </r>
    <r>
      <rPr>
        <b/>
        <sz val="10"/>
        <rFont val="Arial CE"/>
        <charset val="238"/>
      </rPr>
      <t>of those</t>
    </r>
    <r>
      <rPr>
        <sz val="10"/>
        <rFont val="Arial"/>
        <family val="2"/>
        <charset val="238"/>
      </rPr>
      <t>.
b) Please present the measures, steps  the project is taking for the protection of the environment during its operation (in particular the preservation of the good status of the environment with special regard to water resources, the nature and the reduction of waste should be considered).</t>
    </r>
  </si>
  <si>
    <r>
      <t>Effect on local ecosystems
Please describe what kind of direct and indirect, short and long term effect(s) the project will have on the local ecosystems. 
Please refer to EU and/or national legislation in which the usage of the given method is duly justified and ascertain as appropriate and is not against of any environmental regulation.
Please describe in detail how project activities will affect the local ecosystem positively.</t>
    </r>
    <r>
      <rPr>
        <b/>
        <sz val="10"/>
        <rFont val="Arial CE"/>
        <charset val="238"/>
      </rPr>
      <t xml:space="preserve"> </t>
    </r>
    <r>
      <rPr>
        <sz val="10"/>
        <rFont val="Arial"/>
        <family val="2"/>
        <charset val="238"/>
      </rPr>
      <t>Please list the indicator species.</t>
    </r>
  </si>
  <si>
    <t>2.2.1</t>
  </si>
  <si>
    <t>National contribution (check by country)</t>
  </si>
  <si>
    <t>balance of National contribution (- extra own contribution)</t>
  </si>
  <si>
    <t>,</t>
  </si>
  <si>
    <t>The cost of the purchased land must not exceed 10 per cent of the total eligible project cost must not exceed 10
per cent of the total eligible project expenditure except the cases listed in Chapter '3.3.3.7 Investment/Works' of the GfA!</t>
  </si>
  <si>
    <r>
      <t xml:space="preserve">Calculation on </t>
    </r>
    <r>
      <rPr>
        <b/>
        <u/>
        <sz val="10"/>
        <rFont val="Arial"/>
        <family val="2"/>
      </rPr>
      <t>flat rate</t>
    </r>
    <r>
      <rPr>
        <sz val="10"/>
        <rFont val="Arial"/>
        <family val="2"/>
        <charset val="238"/>
      </rPr>
      <t xml:space="preserve"> basis (20% or 10% of direct costs; max. 100.000 EUR)</t>
    </r>
  </si>
  <si>
    <r>
      <t xml:space="preserve">Description
</t>
    </r>
    <r>
      <rPr>
        <sz val="10"/>
        <rFont val="Arial"/>
        <family val="2"/>
        <charset val="238"/>
      </rPr>
      <t>Please identify the relevant area / Lot(s) affected (or the no. of item related - e.g. 12.2.2 - in table 12.2 Location of works) 
(max. 180 character)</t>
    </r>
  </si>
  <si>
    <t>Detailed description, justification of the budget line (for all items listed below) - e.g. rental costs of equipment, costs of guarantees, cost of materials:</t>
  </si>
  <si>
    <t>Please describe in detail how the partnership is contributing to the achievement of the Programme level outputs. Please explain which of the planned project activities will ensure achieving the target values (programme output), how the achievement will be measured by the relevant Beneficiary / Beneficiaries (those that are listed above), what source of information will be used, how the achievement will be proved with evidence, what kind of supporting document will be provided during the reporting?</t>
  </si>
  <si>
    <t xml:space="preserve">
</t>
  </si>
  <si>
    <t xml:space="preserve">
</t>
  </si>
  <si>
    <r>
      <t xml:space="preserve">Target value realized by LB/Bs  (max 250 chr)
</t>
    </r>
    <r>
      <rPr>
        <sz val="10"/>
        <rFont val="Arial"/>
        <family val="2"/>
        <charset val="238"/>
      </rPr>
      <t>(e.g LB: 200; B1 50; B2: 70;)</t>
    </r>
  </si>
  <si>
    <t>a
aa</t>
  </si>
  <si>
    <t>The budget of the Beneficiary is not complete!</t>
  </si>
  <si>
    <r>
      <t xml:space="preserve">Main information and publicity activities that are planned to be carried out during the implementation of the project. When selecting the planned communication activity you have to keep in mind that </t>
    </r>
    <r>
      <rPr>
        <b/>
        <sz val="10"/>
        <rFont val="Arial"/>
        <family val="2"/>
      </rPr>
      <t>all communication tools used should be in line with the planned communication activities and project budgets.</t>
    </r>
    <r>
      <rPr>
        <sz val="10"/>
        <rFont val="Arial"/>
        <family val="2"/>
        <charset val="238"/>
      </rPr>
      <t xml:space="preserve">
</t>
    </r>
    <r>
      <rPr>
        <u/>
        <sz val="10"/>
        <rFont val="Arial"/>
        <family val="2"/>
        <charset val="238"/>
      </rPr>
      <t xml:space="preserve">Among communication tools, the Beneficiaries are required to:
</t>
    </r>
    <r>
      <rPr>
        <sz val="10"/>
        <rFont val="Arial"/>
        <family val="2"/>
        <charset val="238"/>
      </rPr>
      <t>• have at least one communication event;
• produce promotional material about the project (at least one trilingual  i.e. Hungarian-Croatian / Croatian-Hungarian alongside with English as the official working language of the Programme);
• have an own project specific website or ensure relevant space for the promotion of the project results within the Lead Beneficiary’s / Beneficiary’s website(s);
• have at least one media activity (press release, media broadcast etc.) on the project.</t>
    </r>
  </si>
  <si>
    <r>
      <t xml:space="preserve">Description of tasks
</t>
    </r>
    <r>
      <rPr>
        <sz val="10"/>
        <rFont val="Arial"/>
        <family val="2"/>
        <charset val="238"/>
      </rPr>
      <t>expected output(s), duration has to be defined (max. 500 characters)</t>
    </r>
  </si>
  <si>
    <r>
      <t xml:space="preserve">Lead Beneficiary/Beneficiaries can choose as many indicators as relevant to their project by using the scroll down menus in the table. 
</t>
    </r>
    <r>
      <rPr>
        <b/>
        <sz val="10"/>
        <rFont val="Arial"/>
        <family val="2"/>
      </rPr>
      <t>As a minimum requirement, the partnership is obliged to choose from the offered options at least:</t>
    </r>
    <r>
      <rPr>
        <sz val="10"/>
        <rFont val="Arial"/>
        <family val="2"/>
        <charset val="238"/>
      </rPr>
      <t xml:space="preserve">
• 2 different general indicators,
• 1 horizontal indicator,
• 2 component specific indicators,
• 1 project specific indicator.
A maximum of 4 more project specific indicators can be defined optionally by the Lead Beneficiary/Beneficiaries.</t>
    </r>
  </si>
  <si>
    <t xml:space="preserve">Regarding each LB/B please think over the circle and division of tasks among the staff (both internal and external) planned to be involved in the project implementation and define their tasks to be done based on their position in the project. Please avoid overlapping of tasks and positions. Please make sure that the listed Positions of the internal and/or external staff of each LB/B corresponds to the related cost item planned in budget table of the relevant LB/B. </t>
  </si>
  <si>
    <r>
      <rPr>
        <b/>
        <sz val="9"/>
        <rFont val="Arial"/>
        <family val="2"/>
      </rPr>
      <t>Location of the activity</t>
    </r>
    <r>
      <rPr>
        <sz val="9"/>
        <rFont val="Arial"/>
        <family val="2"/>
      </rPr>
      <t xml:space="preserve">
(Activities </t>
    </r>
    <r>
      <rPr>
        <u/>
        <sz val="9"/>
        <rFont val="Arial"/>
        <family val="2"/>
      </rPr>
      <t>outside of the eligible area also</t>
    </r>
    <r>
      <rPr>
        <sz val="9"/>
        <rFont val="Arial"/>
        <family val="2"/>
      </rPr>
      <t xml:space="preserve"> have to be reported here!)
(max. 120 chr.)</t>
    </r>
  </si>
  <si>
    <t>Other COMMUNICATION REQUIREMENTS FOR THE PROJECTS (e.g. poster for projects not exceeding 500 000 EUR)</t>
  </si>
  <si>
    <r>
      <t xml:space="preserve">SPECIFIC COMMUNICATION  REQUIREMENTS FOR THE PROJECTS FOR PURCHASE OF EQUIPMENT / </t>
    </r>
    <r>
      <rPr>
        <sz val="10"/>
        <rFont val="Arial"/>
        <family val="2"/>
        <charset val="238"/>
      </rPr>
      <t>WITH WORKS COMPONENT</t>
    </r>
  </si>
  <si>
    <t>Requested project size (Total costs) is not in line with the thresholds described in the "Guidelines for Applicants" document!</t>
  </si>
  <si>
    <t>Unlimited bicycle experience along the Mura and Drava rivers</t>
  </si>
  <si>
    <t>Happy Bike</t>
  </si>
  <si>
    <t>Letenye Város Önkormányzata</t>
  </si>
  <si>
    <t>Municipality of Letenye</t>
  </si>
  <si>
    <t>Letenye</t>
  </si>
  <si>
    <t>Hungarian Government</t>
  </si>
  <si>
    <t>15734329-2-20</t>
  </si>
  <si>
    <t>734323</t>
  </si>
  <si>
    <t>Kossuth Lajos u. 10.</t>
  </si>
  <si>
    <t>www.letenye.hu</t>
  </si>
  <si>
    <t>Mayor</t>
  </si>
  <si>
    <t>Szilárd</t>
  </si>
  <si>
    <t>Farkas</t>
  </si>
  <si>
    <t>+3693544970</t>
  </si>
  <si>
    <t>+36309369259</t>
  </si>
  <si>
    <t>farkas.szilard@letenye.hu</t>
  </si>
  <si>
    <t>Head of Works Department</t>
  </si>
  <si>
    <t>Imre</t>
  </si>
  <si>
    <t>Simonyai</t>
  </si>
  <si>
    <t>+36302887602</t>
  </si>
  <si>
    <t>muszak@letenye.hu</t>
  </si>
  <si>
    <t>Grad Ludbreg</t>
  </si>
  <si>
    <t>Local Government of Ludbreg</t>
  </si>
  <si>
    <t>07.02.1997.</t>
  </si>
  <si>
    <t>Croatian Parliament</t>
  </si>
  <si>
    <t>84947290034</t>
  </si>
  <si>
    <t>2651858</t>
  </si>
  <si>
    <t>Trg Svetog Trojstva 14</t>
  </si>
  <si>
    <t>Ludbreg</t>
  </si>
  <si>
    <t>www.ludbreg.hr</t>
  </si>
  <si>
    <t>n/a</t>
  </si>
  <si>
    <t>Dubravko</t>
  </si>
  <si>
    <t>Bilić</t>
  </si>
  <si>
    <t>042/420-200</t>
  </si>
  <si>
    <t>042/420-206</t>
  </si>
  <si>
    <t>dubravko.bilic@ludbreg.hr</t>
  </si>
  <si>
    <t xml:space="preserve">Grad Prelog </t>
  </si>
  <si>
    <t>Glavna 35</t>
  </si>
  <si>
    <t>Prelog</t>
  </si>
  <si>
    <t>www.prelog.hr</t>
  </si>
  <si>
    <t>Ljubomir</t>
  </si>
  <si>
    <t>Kolarek</t>
  </si>
  <si>
    <t>gradonacelnik@prelog.hr</t>
  </si>
  <si>
    <t>Miroslav</t>
  </si>
  <si>
    <t>Hrzic</t>
  </si>
  <si>
    <t>grad-financije@prelog.hr</t>
  </si>
  <si>
    <t>Activity 1.1: Project Budget and Time management (20 months, all partners involved)
Activity 1.2: Organisation of project transnational meetings (20 months, all partners involved)
Activity 1.3: Elaboration of Project reports (20 months, all partners involved)</t>
  </si>
  <si>
    <t>Letenye, Prelog and Ludbreg</t>
  </si>
  <si>
    <t>Town of Letenye, Grad Prelog and Grad Ludbreg</t>
  </si>
  <si>
    <t>M1-M20</t>
  </si>
  <si>
    <t>Local and regional cyclists' communities, active tourism lovers and local citizens</t>
  </si>
  <si>
    <t>Local and regional decision makers, cyclists' communities, tourism boards, general public</t>
  </si>
  <si>
    <t>Tourism boards, cyclists' communities, travel agencies, general public</t>
  </si>
  <si>
    <t>Tourism boards, travel agencies, cyclists' communities, local population, general public</t>
  </si>
  <si>
    <t>M8-M19</t>
  </si>
  <si>
    <t>Tourism boards, sport clubs and associations, local population, general public</t>
  </si>
  <si>
    <t>Međimurska county</t>
  </si>
  <si>
    <t>Zala, Međimurska and Varaždinska counties</t>
  </si>
  <si>
    <t>Local primary schools (teachers and principals), local population</t>
  </si>
  <si>
    <t>Local primary and/or secondary schools, Local population</t>
  </si>
  <si>
    <t>Policy making bodies, travel agencies, cyclists' communities, local and regional tourism service providers, local population</t>
  </si>
  <si>
    <t>Tourism boards, travel agencies, local tourism service providers, cyclists' communities, local population</t>
  </si>
  <si>
    <t>Calculation on real costs basis</t>
  </si>
  <si>
    <t>1. Project administration and management</t>
  </si>
  <si>
    <t xml:space="preserve">Municipality of Letenye will be represented by Mr Imre Simonyai, Head of Technical and Construction Department of Town Letenye, who will act as Project’s Technical Coordinator and will work in close cooperation with the above-mentioned External Project Manager. His key responsibilities will be (among others):                                                                                                             • Coordination of the start of the project in accordance with provisions of the Subsidy Contract
• Coordination of the implementation of the project according to the time schedule agreed upon in the contract and in the approved Application Form
• Ensuring sound financial management of the funds allocated to the project, including arrangements for recovering amounts unduly paid
• Meeting reporing requirements and ensures any other documentation obligations
</t>
  </si>
  <si>
    <t>Travel Costs - Participation of Mr Simonyai in transnational project meeting in Ludbreg. 3 meetings in total, Letenye-Ludbreg/Ludbreg-Letenye, Distance per meeting: 90 km (round trip), 3 meetings in total</t>
  </si>
  <si>
    <t>Travel Costs - Participation of Mr Simonyai in transnational project meeting in Prelog. 3 meetings in total, Letenye-Prelog/Prelog-Letenye, Distance per meeting: 60 km (round trip), 3 meetings in total</t>
  </si>
  <si>
    <t>In accordance with LB accountancy rules, travel costs incurred by project managers appointed to specific projects should be reinbursed. As foreseen by the proposal, in total 9 transnational project meetings are to be held to ensure smooth and active cooperation between project partners. In total 3 project meetings are planned by partners. Thus, in total 6 trips should be undertaken by Mr Simonyai. (3 to Prelog and 3 to Ludbreg)</t>
  </si>
  <si>
    <t>Fee of designer being in charge of elaborating construction plans</t>
  </si>
  <si>
    <t>Organisation of two workshops (planned no of participants: 20 per workshop), duration: 1 day, included services: fee of external speaker (expert in traffic regulations), room rental, catering, WIFI and audio-visual services</t>
  </si>
  <si>
    <t xml:space="preserve">Organisation of project kick-off conference, 50 participants, 1 day-event, included services: conference hall rental, catering, WIFI and audio-visual conditions </t>
  </si>
  <si>
    <t>Organisation of one press conference in Letenye</t>
  </si>
  <si>
    <t>Catering services related to the organisation of three transnational project meetings in Letenye (Expected nr of participants: at least 3 representants per partner organisation, 9 persons in total. Duration: 8 hours. Included services: food and drink for 9 people. Estimated cost per person: 15 EUR)</t>
  </si>
  <si>
    <t>Works supervisor engineer</t>
  </si>
  <si>
    <t>2. Information and publicity</t>
  </si>
  <si>
    <t>Printing costs of trilingual project roll-ups. One per partner, 3 in total.</t>
  </si>
  <si>
    <t>Printing costs of trilingual project posters (to be used for promoting cycling events). 100 posters per event per partner. 3 local events and 2 cross-border events in total, i.e. 3*100 posters for local events + 2*100 posters per partner for cross-border events</t>
  </si>
  <si>
    <t xml:space="preserve">Printing costs of Trilingual Leaflets about the project (main outcomes and results) A4-sized, triptych, 3000 printed copies </t>
  </si>
  <si>
    <t>Costs of design of project promo gift packs (consisting of caps, t-shirts and water bottels). 1500 caps+bottles+t-shirts with colour logo</t>
  </si>
  <si>
    <t>Costs of two press articles in regional printed media</t>
  </si>
  <si>
    <t>In line with the European Unions’s Cohesion Policy providing the necessary investment framework to meet the goals of the Europe 2020 Strategy for smart, sustainable and inclusive growth, there is an increasing, common need for investing in jobs and growth  across Europe while supporting environmentally-responsible and sustainable management of both cultural and natural assets contributing to the increase of anual visits to natural and cultural heritage sites while creating new, long-term employment opportunities especially in those areas severly affected by long-term unemployment and/or population ageing. Besides, the Danube strategy also stresses the importance of building on toursim opportunities provided by the Dabube river and its tributaries (i.e. Drava or Mur rivers). This region is characterised by broad heritage of cultures, religions, societies and natural resources which should be exploited in a sustainable manner</t>
  </si>
  <si>
    <t xml:space="preserve">In line with the Programme priority specific objective, our main aim is to build on the Drava-Mur region’s expetcionally rich and diverse natural and cultural heritage in order to generate economic growth in involved programme regions (Letenye, Grad Prelog and Grad Ludbreg) through attracting a greater number of visitors thanks to infrastructure developments implemented in the frame of the proposed project.
With the establishent of the Letenye-Prelog-Ludbreg bycicle culture-and-nature-interpreteation trail (with a total distance of around 100 km) both local population and visitors will have improved acces to picturesque, almost untouched natural areas and other potential tourists sites throughout the Drava-Mur region. 
Special mention has to be made to the fact that the Letenye-Prelog-Ludbreg capillary route to be developed by the project will ensure linkage of both sides of the Croatia-Hungary border, as well as connection to the Eurovelo network (overlapping with Eurovelo 13 route).
</t>
  </si>
  <si>
    <t>Project specific objectives are as follows: 1. To lay down all necessary infrastructural conditions to ensure cross-border linkage of the Letenye-Prelog-Ludbreg areas allowing cyclists to discover the extremely rich and diverse natural and cultural heritage of the Drava-Mur region, 2. To ensure improved cycling experience (related to both nature- and culture interpretation) through exploiting latest technological developments (smartphones, QR codes, social media, etc.)  and 3. To take pleriminary steps to create a long-term cross-border bicycle culture in the involved areas.</t>
  </si>
  <si>
    <t xml:space="preserve">or they are undertaking a long bicycle trip by using the transnational bycicle route to be created by the project. 
In line with dimensions established by the RTPP, our project uses the so-called “tourism-product-approach” and segmentation of our main target groups is as follows:
1. Recreational tourists
• With a special emphasis on those looking for recreation and relaxation opportunities (i.e. people working and living in cities or the capital and willing to “disconnect”): 
2. Tourists looking for nature-close relaxation opportunities
3. Sport and active tourism-lovers
• Specially cyclists (both professional and amateur cyclists)
</t>
  </si>
  <si>
    <t>General public (mainly residents of the participating areas) will benefit in the following way: 1. Improved attractiveness of involved areas contributing to the generation of empoyment and higher levels of income for the region. 2. Improved visibility of the involved areas specially benefitting those dedicated to tourism services and 3. Creation of a long-term cycling culture in the region (organisation of pioneering cross-border cyclist events) should be advantageous for both local population and local economic actors.</t>
  </si>
  <si>
    <t>LB: 200 B1: 190 B2: 145 (participants of kick-off and closing conference, local and cross-border events and workshops) Planned supporting docuents: attendance sheets, registered particpants to cyclist events</t>
  </si>
  <si>
    <t>LB:8 (1 conference, 1 local event, 1 cross-border event, 2 local workshops, 3  meetings) B1:8 (1 conference, 1 local event, 2 local workshops, 3  meetings and 1 summer camp) B2:7 (1 local event, 1 cross-border event, 2 local workshops, 3  meetings)</t>
  </si>
  <si>
    <t>LB will be in charge of creating and updating a common virtual space for the project</t>
  </si>
  <si>
    <t>B1 will be responsible for Mobile App</t>
  </si>
  <si>
    <t>LB: 1 improved connection from the Letenye direction, B1: 1 improved connection from the Prelog direction</t>
  </si>
  <si>
    <t>With the aim of ensuring that stakeholders all completely aware on both the project and its main outcomes, a number of cross-border and local events are planned by partners. All these events (conferences, press conferences, workshops and cycling events) have been carefully planned by partners considering both the project's most important milestones and needs/expectations of different target groups.</t>
  </si>
  <si>
    <t>LB: 100 B1: 100 B2: 100</t>
  </si>
  <si>
    <t>We will actively promote our project in national and regional media, and it is expected that in consequence of communication and promotional activities an increased number of tourists will get to the project area generating overnights. We calculate that average bicycle tourist does not pass more than 30-50km per day, and if he/she want to pass all our project routes they will stay overnight whether in Prelog, Ludbreg or Letenye. Also Town Prelog can calculate the persons which will be invited to participate in kids camp.</t>
  </si>
  <si>
    <t>Number of building permits successfully obtained in the frame of the project</t>
  </si>
  <si>
    <t>The project is characterised by joint development, joint implementation, joint staffing and joint financing.The proposal is result of joint efforts made by partners: project objectives, outcomes and expected results were carefully discussed and analysed by partners and corresponding activities were set according to expected results and competences of each partner.Timing of activities and their respective budget was set by taking into the complexity of each task and always bearing in mind the most cost effective options. Partners defined lead beneficiary, activity leaders and divided responsibilities.Letenye being mainly responsible for the implementation of the project agreed with partners on the distribution of different roles and responsibilities.Partners are in charge of carrying out tasks and activities according to their defined individual needs.Each partner is responsible for tasks planned in order to achieve project objectives and to provide tangible project results and outputs</t>
  </si>
  <si>
    <t>Key staff representing each cooperating organisation have a defined responsibility within the project. Regular project meetings (face-to-face or online) will be held where staff members will be able to coordinate their activities and exchange information on a regular basis. The project has developed and provided a joint budget, where the funding is allocated to each partner, based on the activities and tasks they will carry out. Funding has been allocated to partners according to the activities they are carrying out. The budget also includes annual spending targets, and is divided also by the WPs.</t>
  </si>
  <si>
    <t>Activity 3.1: Organisation of project conferences and regular press conferences</t>
  </si>
  <si>
    <t>Activity 3.2: Creation and regular updating of project website, project presence in Social media</t>
  </si>
  <si>
    <t>Activity 3.4: Organisation of local and cross-border events for cyclists</t>
  </si>
  <si>
    <t>Activity 3.5: Organisation of Summer Cycling Camp for primary school kids in Croatia</t>
  </si>
  <si>
    <t>Activity 3.6: Organisation of “Safety in traffic for cyclists” workshops</t>
  </si>
  <si>
    <t>Activity 4.1: Development of missing sections of the bicycle routes in Ludbreg area</t>
  </si>
  <si>
    <t>Varaždinska county</t>
  </si>
  <si>
    <t>per contract</t>
  </si>
  <si>
    <t>per event</t>
  </si>
  <si>
    <t>8. Activity 3.6: Organisation of “Safety in traffic for cyclists” workshops</t>
  </si>
  <si>
    <t>3. Activity 3.1: Organisation of project conferences and regular press conferences</t>
  </si>
  <si>
    <t>6. Activity 3.4: Organisation of local and cross-border events for cyclists</t>
  </si>
  <si>
    <t>Costs of billboard to be set up on the site of the investment</t>
  </si>
  <si>
    <t>Costs of permanent explanatory plaque to be set up by Lead Beneficiary</t>
  </si>
  <si>
    <t>per pieces</t>
  </si>
  <si>
    <t>per article</t>
  </si>
  <si>
    <t>Fee of production of 150 cyclist information boards</t>
  </si>
  <si>
    <t>Fee of production of supporting structure for 150 cyclist information boards</t>
  </si>
  <si>
    <t>Production of 5 nature/culture interpreteation boards</t>
  </si>
  <si>
    <t>Production of Zala/Muraside maps. 5000 pieces</t>
  </si>
  <si>
    <t>4 canoes with 12 paddles and safety equipment (12 safety vests, 4 waterproof cubes, 12 waterproof bags)</t>
  </si>
  <si>
    <t>GPS needed for periodic campaigns addressing cyclists (Competitions based on newly created infrastructure)</t>
  </si>
  <si>
    <t>Set of bycicles (including 40 bycicles for renting)</t>
  </si>
  <si>
    <t>Service kit (consisting of tools for repairing and/or maintaing bycicles) and trailer for transporting cycles from one bycicle collection point to another</t>
  </si>
  <si>
    <t>30 wardrobes</t>
  </si>
  <si>
    <t>Projector with screen</t>
  </si>
  <si>
    <t>Two mobile stoves, two microvawe ovens, two fridges for kitchen</t>
  </si>
  <si>
    <t>Ten wooden tables, ten plastic tables and fifty chairs for dining room</t>
  </si>
  <si>
    <t>Furniture for storing bycicles (2)</t>
  </si>
  <si>
    <t>per units</t>
  </si>
  <si>
    <t>Reimbursment of travel costs of one representative of Grad Prelog attending 6 project meetings (3 meetings in Letenye and 3 meetings in Ludbreg).</t>
  </si>
  <si>
    <t>Geodetic measures, drafting and work on Geodetic and Geotehnical elaborate bike path</t>
  </si>
  <si>
    <t>per km</t>
  </si>
  <si>
    <t>Preliminary and the main project for bike path</t>
  </si>
  <si>
    <t>2 pcs relations-development and knowledge transfer workshops in Prelog (PP1). The themes: Bicycle impact on health, Presentation of bicycles shops, equipment, service centers, traffic roles - for kids --- 2 pcs full day workshops x 20 persons. Premise, decoration, moderation, translator, presenters, snack, coffee, mineral water, photo documentation 
- 1 day long Bike Tour along the bike path on Međimurje county route - finish on Drava river acumulation lake - at least 100 participants including the representatives of all partners in the project. Snack, refresments for participants
- project team meeting - rent of premisses, equipment, translator, snack, refresments
- 3 days kids bicycle camp - cca 50 participants (15 per partner (12 kids + 3 escort), accomodation in hotel, travel costs, translator,  lunch, snacks,  refreshments for participants
- closing conference event- promotion of project results - cca 50 participants - rent of premisess, translator,  refreshments, lunch for participants</t>
  </si>
  <si>
    <t>Organization of workshops for citizens</t>
  </si>
  <si>
    <t>Organization of Prelog Bike Tour</t>
  </si>
  <si>
    <t>Organization of project team meeting</t>
  </si>
  <si>
    <t>Organization of Kids bicycle camp</t>
  </si>
  <si>
    <t>Organization of project closing conference</t>
  </si>
  <si>
    <t>7. Activity 3.5: Organisation of Summer Cycling Camp for primary school kids in Croatia</t>
  </si>
  <si>
    <t>supervision of works by an independent supervisor, according to Croatian legal requirements has to be outsourced</t>
  </si>
  <si>
    <t>Supervision of works - adaptation/reconstruction</t>
  </si>
  <si>
    <t>Info panels at the facilities/eqipment/ for works</t>
  </si>
  <si>
    <t>per pcs</t>
  </si>
  <si>
    <t>mobile application for bicycle route (online applications for androids and IOS (software), mapping of main tourist and cultural attractions - 25 points per partner, translation – 4 languages - HR, HU, GER, ENG)</t>
  </si>
  <si>
    <t>Mobile application for bicycle route</t>
  </si>
  <si>
    <t xml:space="preserve">marking and labeling singposts (vertical signalization with installation) along the  bike path on Međimurje county route (Goričan, Donji Kraljevec, Hemuševec, Draškovec, Oporovec, Prelog, Otok, Čehovec, Hodošan) and turist facilities (bridges, buildings, accommodation, bike service centers) - 42 km long path
- info boards with shelter – 4 pcs for info point Draškovec, Oporovec, Otok and Čehovec (self service stand, bicycle stand, info panel with map, solar set, acu and USB charger, bench, shelter) 
- info point Prelog – info board with touchscreen 21'' ((all season board - summer cooling, winter heating), shelter, electric bike charger, weather station, power socket/USB charger, online applications for board 4 languages, Internet connection/Wifi)
- restplace equipment in Oporovec – desks, chairs, worktable, corner seating set, closets, commode,  equiped kitchen, kitchen desk with chairs, recycle bin, TV, radio, computer with software and Internet connection, printer, outdoor benches, bicycle stands </t>
  </si>
  <si>
    <t>Marking and labeling of bicycle route</t>
  </si>
  <si>
    <t>info boards with shelter</t>
  </si>
  <si>
    <t>info point Prelog</t>
  </si>
  <si>
    <t>restplace equipment in Oporovec</t>
  </si>
  <si>
    <t xml:space="preserve">adaptation/reconstruction of restplace in Oporovec
- results of adaptation - two rooms for social purposes (restplace, volonteer room), info point room, boiler room, showers (2), toilets (3), storage for bicycles </t>
  </si>
  <si>
    <t>adaptation/reconstruction of restplace in Oporovec</t>
  </si>
  <si>
    <t>Project opening conference</t>
  </si>
  <si>
    <t>Project closing conference</t>
  </si>
  <si>
    <t>Local and cross-border events for cyclists</t>
  </si>
  <si>
    <t>Safety in traffic for cyclists workshops</t>
  </si>
  <si>
    <t xml:space="preserve">Responsible: LB, Languages: HU and EN mixed, expected number of participants: 50. To be held in Month 2. </t>
  </si>
  <si>
    <t>stakeholders including policy makers, representatives of decision making bodies especially those active in the field of tourism, NGOs and other organisations from the tourism sector.</t>
  </si>
  <si>
    <t xml:space="preserve">Responsible: B1, Languages: HR and EN mixed, expected number of participants: 50. To be held in Month 20. </t>
  </si>
  <si>
    <t xml:space="preserve">Responsible: B2, Languages: HU, HR and EN mixed. 3 local "recreational" cycling events and 2 cross-border "professional" cycling events to be held. </t>
  </si>
  <si>
    <t>recreational cyclists, sport clubs and associations, professional cyclists, local population, general public. In total, at least 210 persons should be reached.</t>
  </si>
  <si>
    <t xml:space="preserve">Responsible: B2, Languages HU and HR. Two workshops per town are planned meaning 6 workshops in total. </t>
  </si>
  <si>
    <t>primary school kids and teachers and parents, local citizens. In total, at least 120 persons should be reached (20 per workshop)</t>
  </si>
  <si>
    <t>Trilingual project leaflets</t>
  </si>
  <si>
    <t>Trilingual – EN, HR and HU – leaflets should be designed and available in printed and digital form with distribution purposes. Responsible: LB Deadline: Month 2</t>
  </si>
  <si>
    <t>people attending project events, parter organisations of project beneficiaries. At least 3000 people should be reached.</t>
  </si>
  <si>
    <t>Multilingual project posters</t>
  </si>
  <si>
    <t>Trilingual - EN, HU and HR - posters will be printed for exhibition in stakeholder organisations. Responsible: LB, Deadline: Month 6.</t>
  </si>
  <si>
    <t>Multilingual project roll-ups</t>
  </si>
  <si>
    <t>Trilingual - EN, HU and HR - roll-ups will be produced for use during project-events. Responsible: LB, Deadline: Month 6.</t>
  </si>
  <si>
    <t>people attending project events. At least, 535 people shpuld be reached.</t>
  </si>
  <si>
    <t>people attending project events, local population, organisations active in the field of tourism. At least, 535 people should be reached.</t>
  </si>
  <si>
    <t>Trilingual info maps on bicycle routes</t>
  </si>
  <si>
    <t>people attending project events, local population and visitors. At least 3000 people should be reached.</t>
  </si>
  <si>
    <t>Trinlingual (EN, HR and HU) information maps should be designed in order to allow cyclists benefitting from the newly established bicycle routes to get accurate information on the route itself (length, directions, level of difficulty, etc.). Responsible: B2, Deadline: Month 14</t>
  </si>
  <si>
    <t>Promotional gift pack</t>
  </si>
  <si>
    <t>Promotional gift-packs (consisting of caps, t-shirts and water bottles with Programme Logo) will be designed and produced by partners. Responsible: LB, Deadline: Month 14</t>
  </si>
  <si>
    <t>Project website</t>
  </si>
  <si>
    <t>Presence in social media</t>
  </si>
  <si>
    <t>A trilingual project website should be created and hosted by LB Town of Letenye. The website will serve as a single point where all the latest information on the project is available for all publics of interest. Deadline: Month 6.</t>
  </si>
  <si>
    <t>potential visitors, cyclists' organisations, sport clubs, organisations active in the field of tourism, local population, general public. At least 1000 people should be reached.</t>
  </si>
  <si>
    <t>Project presence in social media will be ensured and to promote project events #happybikeproject hashtag will be also created. Our aim is also to ensure bi.directional communication with stakeholders. Responsible: LB, Deadline: Month 6</t>
  </si>
  <si>
    <t>Press conference</t>
  </si>
  <si>
    <t>Press releases</t>
  </si>
  <si>
    <t xml:space="preserve">At least 1 press conference will be held by country. LB will be responsible for this activity. </t>
  </si>
  <si>
    <t>policy makers, representatives of decision making bodies especially those active in the field of tourism, NGOs and other organisations from the tourism sector.1000 people should be reached</t>
  </si>
  <si>
    <t>At least one article should be published in local/regional printed media per country.</t>
  </si>
  <si>
    <t>Billboards in HR and HU</t>
  </si>
  <si>
    <t>Billboards will be set up in the location of works activities in both countries. Responsible partner: LB, Deadline: Month 20</t>
  </si>
  <si>
    <t>general public</t>
  </si>
  <si>
    <t>Permanent explanatory plaque in national languages</t>
  </si>
  <si>
    <t>Permanent explanatory plaque will be put up by LB in national language. Responsible partner: LB, Deadline: Month 20</t>
  </si>
  <si>
    <t>Project Technical Coordinator</t>
  </si>
  <si>
    <t xml:space="preserve">Duration: 20 months, Expected Output: Succesfully implemented project and works components achieved successfully. Technical Coordinator is in charge of supervising and coordinating works components in the project. He also cooperates with Beneficiaries and external staff. </t>
  </si>
  <si>
    <t>1,2,6,8</t>
  </si>
  <si>
    <t>External Project Manager</t>
  </si>
  <si>
    <t xml:space="preserve">Duration: 20 months, Expected Output: Project Management documents delivered to JS, effective support to Project Technical Coordinator in meeting requirements towards LB. He/she will work in close cooperation with Technical Coordinator and Project Managers of B1 and B2. </t>
  </si>
  <si>
    <t>2,3,4,6</t>
  </si>
  <si>
    <t>External Communication Manager</t>
  </si>
  <si>
    <t xml:space="preserve">Duration: 20 months, Expected Outputs: project website, project presence in social media ensured, press releases, project promotional material designed, project-related communication activities implemented accordingly. He/she will be in charge of ensuring target audiences are aware on the project and results. </t>
  </si>
  <si>
    <t>Refurbishment of Letenye Cyclist Centre</t>
  </si>
  <si>
    <t>Establishment of 5 restpalces in Letenye area</t>
  </si>
  <si>
    <t>1 project manager -Town Ludbreg - 20 hours per week - part time employment (50 %)</t>
  </si>
  <si>
    <t>Project manager 50 %</t>
  </si>
  <si>
    <t>project team meetings- during the implementation of the project, there are 6 meetings out of the Town Ludbreg</t>
  </si>
  <si>
    <t>Traffic elaborate of vertical traffic signalization for marking bycikle route "Happy bike" in the area of Town Ludbreg</t>
  </si>
  <si>
    <t>Translation in 4 different languages for the purposes of promotional materials (maps)</t>
  </si>
  <si>
    <t>translation on 4 languages</t>
  </si>
  <si>
    <t>2 workshops in Ludbreg with the themes: bicycle imapct on health, safety in traffic, presentation of bike equipment, service centers, traffic roles (one for kids, one for open public) - 2 pcs full day workshop X 20 persons (includes: decoration, moderation, presenters, snack, coffe, water, photo documetation);    organization of 3 project team meetings  (includes: rent of premisses, equipment, snack, refreshments);     organization of conference on the occasion of the opening of the bike route includes: rent of premisses, translator, moderator, lunch for the participants;    Ludbreg bike tour along the bike path on the Varaždin county route - at least 100 participants including the representatives of each project partner (snack, refreshments, moderator);    international recreational bike tour - starts in Letenye, through the area of Town Prelog, and finishes in Ludbreg (the tour is along the whole Happy bike route), at least 150 participants; costs includes rent of a bus for relation Ludbreg-Prelog-Letenye-Ludbreg, moderator, refreshments, snacks for participants</t>
  </si>
  <si>
    <t>organization of workshop for citizens</t>
  </si>
  <si>
    <t>organization of project team meeting</t>
  </si>
  <si>
    <t>organization of conference on the occasion of the opening of the bike route</t>
  </si>
  <si>
    <t>organization of Ludbreg Bike tour</t>
  </si>
  <si>
    <t>organization of the international recreational Bike tour (Leteny-Ludbreg)</t>
  </si>
  <si>
    <t>Marking and labeling of bicycle route with traffic signs</t>
  </si>
  <si>
    <t>Info boards with route map</t>
  </si>
  <si>
    <t xml:space="preserve">parking lot for bikes with shelter </t>
  </si>
  <si>
    <t>Arrangement of the part of local road includes land excavation and removal of material, supply and installation of stone material for approximately 300 m of the road (remediation of the road does not foresee work that require obtaining a building permit)</t>
  </si>
  <si>
    <t>arrangement of local road for bike route</t>
  </si>
  <si>
    <t>Since internal human capacities of Town Letenye are limited active support in the implementation of tasks related to the project's financial and administrative management is needed. To ensure both smooth and successfull implementation of the project and compliance with legal, financial and adminsitrative requirements of the Interreg V-A Hungary-Croatia Co-operation Programme 2014-2020 an experienced external financial and administrative manager will be hired for the project's purposes. In line with public procurement rules, we are obliged to consider costs allocated separately for different external services as a whole and therefore, an external public procurement expert is needed in the project.</t>
  </si>
  <si>
    <t xml:space="preserve">supervision of works by an independent supervisor is needed since works should be achieved at the highest qualitz possible without delays. He/she also will be in charge of representing LB's interest towards the company implementing infrastructure and works components. The financial auditor will ensure that implementation works components is in line with Hungarian financial legislation.  </t>
  </si>
  <si>
    <t xml:space="preserve">In order to ensure compliance with communication requirements set by the Hungary-Croatia Interreg V-A Cooperation Programme 2014-2020 a number of communication, publicity and promotion activities are foreseen by partners. As agreed by consortium members, LB should bear the below costs and distribute the below-described promotional material among partners. The below materials are closely related to activities described in sections 6 and 8 (for further details please see the Feasibility Assessment). Since internal human capacities of Letenye are limited an external communicatin expert being in charge of information and publicity activities should be hired for the project purposes. </t>
  </si>
  <si>
    <t xml:space="preserve">The below activities are necessary for the succesfull implementation of othe project and require specific expertise therefore, sub-contracted is needed. </t>
  </si>
  <si>
    <t>LB, B1, B2, B3</t>
  </si>
  <si>
    <t>Responsible Partner: LB
Involved Partners: B1,B2 and B3
Duration: 20 months
In the frame of this activity a trilingual project website will be created and updated on a regular basis. Moreover, presence in social media will be also ensured.</t>
  </si>
  <si>
    <t>Letenye and Prelog</t>
  </si>
  <si>
    <t xml:space="preserve">Responsible Partner: B2 
Involved Partners: LB, B1
Duration: 6 months
Three local and two cross-border cycling events will take place with the aim of promoting project results and fostering a cross-border cycling culture through transforming the Letenye-Prelog-Ludbreg triangle into a cyclist-friendly, active tourism destination. </t>
  </si>
  <si>
    <t>Activity 4.2: Adaptation and arrangement of the part of a local road Ludbreg</t>
  </si>
  <si>
    <t>Activity 4.3: Establishment of Cyclist Centre in Letenye</t>
  </si>
  <si>
    <t>Activity 4.4: Preparation of technical documentation for obtaining a building permit for bike paths" - Draškovec Oporovec</t>
  </si>
  <si>
    <t>Activity 4.5: Adaptation/reconstruction of the restplace for cyclist in Oporovec</t>
  </si>
  <si>
    <t>Activity 4.6: Establishment of restplaces, info points and installation of information boards alongside the bicycle routes</t>
  </si>
  <si>
    <t>Involved partners: B2 
Duration: 4 months (1 month for public procurement and 3 months for implementation of necessary works).
Arrangement of the part of local road includes land excavation and removal of material, supply and installation of stone material for approximately 300 m of the road</t>
  </si>
  <si>
    <t>Involved Partners: LB
Duration: 9 months (3 months for public procurement and 10 months of implementation)
In Town of Letenye, a bicycle centre will be set up where cyclists will be able to relax, store and repair bicycles, if needed, besides other services to be provided</t>
  </si>
  <si>
    <t>Involved Partners: B1
Duration: 8 Months (public procurement approximately 2 months, and designing documentation and obtaining permits approximately 6 months).
It is necessary to develop the project documentation for reconstruction of the road with the expansion of the existing pavement to 5.50 m, construction of cycling and walking path (BPS).</t>
  </si>
  <si>
    <t>11. Activity 4.3: Establishment of Cyclist Centre in Letenye</t>
  </si>
  <si>
    <t>14. Activity 4.6: Establishment of restplaces, info points and installation of information boards alongside the bicycle routes</t>
  </si>
  <si>
    <t>12. Activity 4.4: Preparation of technical documentation for obtaining a building permit for bike paths" - Draškovec Oporovec</t>
  </si>
  <si>
    <t>13. Activity 4.5: Adaptation/reconstruction of the restplace for cyclist in Oporovec</t>
  </si>
  <si>
    <t>10. Activity 4.2: Adaptation and arrangement of the part of a local road Ludbreg</t>
  </si>
  <si>
    <t>Travel Costs - Participation of project manager in transnational project meeting in Ludbreg. 3 meetings in total, Prelog-Ludbreg/Ludbreg-Prelog, Distance per meeting: 40 km (round trip), 3 meetings in total</t>
  </si>
  <si>
    <t>Travel Costs - Participation of project manager in transnational project meeting in Letenye. 3 meetings in total, Prelog-Letenye/Letenye-Prelog, Distance per meeting: 60 km (round trip), 3 meetings in total</t>
  </si>
  <si>
    <t>Travel Costs - Participation of project manager in transnational project meeting in Letenye. 3 meetings in total, Ludbreg-Letenye/Letenye-Ludbreg, Distance per meeting: 90 km (round trip), 3 meetings in total</t>
  </si>
  <si>
    <t>Travel Costs - Participation of project manager in transnational project meeting in Prelog. 3 meetings in total, Ludbre-Prelog/Prelog-Ludbreg, Distance per meeting: 40 km (round trip), 3 meetings in total</t>
  </si>
  <si>
    <t>trinlingual info maps of route (A2-sized, foldable, 3000 copies – i.e. 1000 per partner)</t>
  </si>
  <si>
    <t>info brochure for bicycle routes (list of attractions with explanation and description which will be on the route)</t>
  </si>
  <si>
    <t xml:space="preserve">To ensure that Cyclist Centre of Letenye is ready for operation, a number of specific items need to be purchased. Canoes with paddles and safety equipment are necessary since thematic bicycle routes will be combined with water-related activities. Nature-interpretation boards will be also set up in a manner that they will be visible from both sides: from the bicycle route and from the river Mur. GPS will be made avilable for cyclists benefitting from the newly designated bicycle paths since Town Letenye will organise periodic campaigns where participants could opt for free-of-charge tourism packages. 40 cicycles will be also purchased for rental purposes (free-of-charge). Service kit is necessary for ensuring that cyclists will be able to repair and/or manitain their bikes. 30 wardrobes are needed so visitors (cyclists) will be able to store their personal objects while riding bikes in Letenye area. Projector with screen will be used during cyclist community events. Mobile stoves, microvawes and fridges will belong to the Centre's kitchen where visitors/cyclists will be able to store and/or warm up food. Wooden and plastic tables with chairs will be installed in the community spaces as well. Furinture for storing bycicles is also needed in both restplaces. </t>
  </si>
  <si>
    <t xml:space="preserve">Fee including the elaboration of necessary documentation for the present proposal (construction plans, technical descriptions, diagrammatical plan, general plan of the building site) and also documentation necessary for the implementation of works components. </t>
  </si>
  <si>
    <t>In order to ensure compliance with communication requirements set by the Hungary-Croatia Interreg V-A Cooperation Programme 2014-2020 a number of communication, publicity and promotion activities are foreseen by partners. As agreed by consortium members, B1 should bear the below costs and distribute the below-described promotional material among partners. The below materials are closely related to activities described in sections 6 and 8 (for further details please see the Feasibility Assessment).</t>
  </si>
  <si>
    <t>Activity 3.3: Development of multilingual mobile App</t>
  </si>
  <si>
    <t>Responsible Partner: B1
Involved Partners: LB, B2 
Duration: 12 months
Multilingual Mobile App compatibel with both iOS and Android will be developed and promoted among stakeholders by partners</t>
  </si>
  <si>
    <t>5. Activity 3.3: Development of multilingual mobile App</t>
  </si>
  <si>
    <t>Town Prelog</t>
  </si>
  <si>
    <t>GP</t>
  </si>
  <si>
    <t>Municipality Prelog</t>
  </si>
  <si>
    <t>55624885874</t>
  </si>
  <si>
    <t>02721961</t>
  </si>
  <si>
    <t>+385 40 645301</t>
  </si>
  <si>
    <t>+385 98 242360</t>
  </si>
  <si>
    <t>Economic advisor</t>
  </si>
  <si>
    <t>+385 99 3344421</t>
  </si>
  <si>
    <t>+385 40 638685</t>
  </si>
  <si>
    <t>Županijska uprava za ceste Varaždinske županije</t>
  </si>
  <si>
    <t>County roads administration  of the Varaždin county</t>
  </si>
  <si>
    <t>ŽUC Varaždin</t>
  </si>
  <si>
    <t>24.03.1997</t>
  </si>
  <si>
    <t>Varaždin county</t>
  </si>
  <si>
    <t>74640705361</t>
  </si>
  <si>
    <t>070035051</t>
  </si>
  <si>
    <t>Ljudevita Gaja 4</t>
  </si>
  <si>
    <t>Varaždin</t>
  </si>
  <si>
    <t>www.zuc-vz.hr</t>
  </si>
  <si>
    <t>not relevant</t>
  </si>
  <si>
    <t>director</t>
  </si>
  <si>
    <t>Tomislav</t>
  </si>
  <si>
    <t>Osonjački</t>
  </si>
  <si>
    <t>042/214 403</t>
  </si>
  <si>
    <t>042/214 459</t>
  </si>
  <si>
    <t>tomislav.osonjacki@zuc-vz.hr</t>
  </si>
  <si>
    <t>159 110 256</t>
  </si>
  <si>
    <t>2 639 434 321</t>
  </si>
  <si>
    <t>199 487 717</t>
  </si>
  <si>
    <t xml:space="preserve">by providing real-time and up-to-date information on attractions alongside the newly developed/designated bicycle  connection to tourism attractions and touristic services
2. connection to tourism attractions and touristic services
Tourism attractions include
- proximity with the UNESCO Biosphere Reserve “Mura-Drava-Danube”
- well preserved natural and cultural heritage elements such as the Szapháry-Andrássy Castle in Letenye or the landscapes of rivers Mur and Drava
- water-based activities including fishing
- spectacular flora and fauna and possibilities to observe birds
- ecotourism
- hunting
- wine tourism
- trekking and hiking
- health and wellness
Available tourism services include
- restaurant services with enriched gastronomic offer
- newly established accommodation facilities
- newly designed and implemented community programmes to enrich tourism offer
- important offer of local products (especially in Ludbreg area)
- traditional craftsmen products
</t>
  </si>
  <si>
    <t xml:space="preserve">1. foreseen positive effects on regional/local tourism
- increased attractiveness of the region with focus on participating towns for both active tourism lovers and cyclists
- boosting the tourism sector creates new job opportunities and stimulates self-employment/entrepreneurial climate in the involved rural and less-developed areas
- creation of a cyclist-friendly, active tourism destination image, in particular:
i.ensuring that cyclists get accurate,up-to date information on cycling routes (directions, difficulty, duration, etc.) in both sides of the border
ii.upgraded facilities and improved accessibility to services for cyclists (repair, maintenance, relaxing possibilities etc.)
iii.creation of long-term, common cross-border cycling culture in project area by organising pioneering events addressing both recreational and professional cyclists
better accessibility to cultural and natural heritage of the region and improved communication between service providers and visitors
</t>
  </si>
  <si>
    <t xml:space="preserve">The new bicycle path will be accessible from both sides of the border: in HU, Letenye is directly connected to both capitals Zagreb and Budapest by highways M7, M70 and E65. Neighbour settlements and even bigger cities such as Zalaegerszeg (Zala county), Kaposvár (Somogy county) or Pécs (Baranya county) can be easily reached by bus or car. By bike, Letenye is accessible thanks to the South Zala Bicycle Network. In HR, both towns can be reached easily by car, through the highway (ca. 1 hour of driving), by bus (there are direct lines, about 1,5 hour of driving) and by train (also, direct lines from Zagreb, it takes about 2 hours). Moreover, there a number bicycle routes surrounding both towns. </t>
  </si>
  <si>
    <t xml:space="preserve">Services to be created alongside the bicycle path:
- 12 Rest places with tables and benches, 13 info points and 30 culture/nature-interpretation boards
- 2 cyclist centres to be established providing self-services for cyclists (maintenance and reparation), acu-and USD chargers
- bike storing possibilities at 7 points of the ~100km-long route
- 2 spaces for eating/warming up foot
- 2 possibilities to take a shower
- 5 rooms for social events (community rooms)
- bike renting possibilities
- 2 e-points with free WIFI access
</t>
  </si>
  <si>
    <t xml:space="preserve">The specificity of this route on Croatian side is that connects the two branches part of the route MuraDrava bike, and is providing a direct link between the Mura River (near the border crossing with Hungary Goričan and the Town Letenye) and the Drava river (near the village of Otok (Town Prelog) with neighboring Varazdin County and the Town Ludbreg). It should be noted that the bridge on the river Mura near Goričan / Letenye is the only land connection between the two neighboring countries and regions - the Western-crossing is Mursko Središće which is 25 km far away, and the next eastern crossing is more than 40 km far away in the neighboring Koprivnica county (Gola).  The crossings over the river Drava are almost similarly – on the west is a bridge at Semovci village 15 kilometers away, and on east side at village Donja Dubrava and more than 20 km away.
</t>
  </si>
  <si>
    <t xml:space="preserve">Aiming at reducing generation of paper-based waste material, during the entire implementation of the project digital technologies will be prioritised ahead of paper-based possibilities (project documents will not be printed unless it is very necessary and also digital possibilities will be considered first for promotional activities). To ensure smooth and environment-friendly communication in the project, partners will take advantage from digital communication channels (video-conferences, email, etc.). Also project events should be combined to the extent possible (e.g. project closing conference will be held together with last project meeting). 
When implementing project events specific awareness-raising actions will also take place to ensure visitors are able to take environmentally conscious decisions when using the newly created infrastructures. 
</t>
  </si>
  <si>
    <t xml:space="preserve">Environmental aspects are also important to consider when implementing works activities, therefore partners will ensure that companies being in charge of construction activities will achieve their duties in an environmental-friendly manner. 
Moreover, new cyclists centre to be established should be operated in an environment-friendly manner (waste to be collected separately, users of the buildings will be advised on how to save water when taking a shower at facilities, etc.). Local population benefitting from the project should be able to take sound decisions when using means of transportation to get to their workplaces and/or school. 
</t>
  </si>
  <si>
    <t>As for the cross-border area covered by the Happy Bike project and in particular the Letenye-Prelog-Ludbreg triangle, the project seeks to create a long-term, cross-border cycling culture which is currently lacking. To foster interaction, not only among stakeholders but also between service providers-project partners or between stakeholders-project partners, opportunities given by new technologies (digital devices and communication technologies) will be exploited by partners at the highest extent possible. In particular, the following technological solutions will be promoted by the project: i. QR-code solutions allowing cyclists/visitors to get up-to-date and more accurate information on both the newly established bicycle trail (Letenye-Prelog-Ludbreg) and related natural/cultural heritage sites. ii) use of digital media especially tools like Twitter (creation of #happybikeproject) to foster interaction among and with stakeholders and other sharing plaforms like YouTube (project events</t>
  </si>
  <si>
    <t xml:space="preserve">will be video-recorded and shared via social media, iii) multilingual mobile App compatible with iOS and Android will be developed by the project to ensure cyclists have complete access to useful information (i.e. services offered to cyclists, attractions located alonside the bicycle route, difficulty, duration, indications etc.) </t>
  </si>
  <si>
    <t xml:space="preserve">Financial sustainability is ensured since organisations directly benefitting from project results and outputs are public institutions being the most important actors of rural development in the project area. Through implemening the project not only an important part of their own development priorities would be achieved but also this project would lay down basics for further development projects. 
Institutional sustainability is secured since operation of the newly established infrastructure will be included in participating municipalities' daily agenda. Participating municipalities have strong capacities (including both human and financial resources) to maintain the developed infrastructure on the long-term. 
</t>
  </si>
  <si>
    <t xml:space="preserve">As for professional sustainability, as described in partner's individual feasibility assessment documents, highly qualified personnel will be hired/employed for ensuring created services are delivered to visitors/cyclists at the highest quality possible. Thanks to long years of experience and expertise of project partners in similar development projects (many of them have also significant cross-border experience) professionalism, financially and institutionally sustainable developments are the only priorities of the involved public institutions. </t>
  </si>
  <si>
    <t>On the other hand, good practices and experiences gained through cyclists community building activities and events will serve as a basis for re-thinking and optimising the project's approach for future similar actions. Networking opportunities and also potential for continously improving developed services (including the mobile App, bike rental, cross-border events, info maps and culture/nature interpreteation services) should be exploited by partners on the long-term. To do so, best practices will be gathered and discussed by partners on a regular basis and proposals for further joint (and possibly extended) initiatives will be prepared for the last month of the project. Furthermore, cross-border events for cyclists organised by the project should continue even beyond the project's lifetime.</t>
  </si>
  <si>
    <t>The following risk factors have been identified: 1.technical: delays in works and cost overruns (likelihood: low, impact: high), proposed mitigation: Project partners carefully planned activities needed for the development of new infrastructure with help of renowned, external designers. Moreover, public procurement procedures will also ensure that the most adequate contractors for works components
2.legal: Changes of standards in terms of legal environments (likelihood: low, impact: medium), mitigation: Continuous monitoring of the legal environment to act in time if needed. Besides partners will also hire external legal advisor to ensure project works components are implemented accordingly
3.Social: Stakeholders and especially those living near the investment sites may show resistance (likelihood: low, impact: medium), mitigation: The proposed infrastructure developments were carefully planned by partners in advance and are fully in line with their current development strategies which</t>
  </si>
  <si>
    <t xml:space="preserve">partly, are based in public opinion surveys, the results of which showed a clear need for the development in question. Also a number of communication activities are planned by partners with the aim of engaging stakeholders
4. Financial-economic: Incomplete or inaccurate estimation of investment costs (likelihood: low, impact: medium), mitigation: Review of existing contracts, additional financial assists if necessary
5. Institutional: Lengthy approval procedures in partner institutions’ administrative departments (Likelihood: Medium, Impact: High), mitigation: Continuous monitoring of procedures and if needed, sending notices and claims/or contacting key personnel via other means
</t>
  </si>
  <si>
    <t xml:space="preserve">Activities foreseen by partners should result in a long-term, cross-border cycling culture in the project area while necessary infrastructural conditions are also met: cross-border linkage of the Letenye-Prelog-Ludbreg triangle and high quality services to cyclists benefitting from the new developments are available. 
Expected impacts are as follows: 
i. on stakeholder level: 
 - visitors/cyclists benefitting from quality cycling tourism services, 
 - improved access to natural/cultural elements in the project area, 
 - improved networking opportunities with their peers from the other side of the border; 
ii. on economy-level:
 - increased incomes for involved regions, 
 - better promotion of local tourism offers, 
 - increased number of guest nights thanks to cross-border events; 
</t>
  </si>
  <si>
    <t xml:space="preserve">iii. environmental impacts: 
 - new infrastructure for cyclists appropriate for being operated in an environmental-friendly way, 
 - better use of digital technologies while paper use will be reduced, 
 - people attending project events will have improved capacities to take sound and environmentally conscious decisions when choosing means of transportation
</t>
  </si>
  <si>
    <t>Szilárd Farkas, Mayor of Letenye</t>
  </si>
  <si>
    <t xml:space="preserve">Project is in line with the following EU-level policies and strategies:
1. Europe 2020 Strategy for smart, sustainable and inclusive growth – contribution to the generation of new jobs and growth while supporting environmentally-responsible and sustainable management of both cultural and natural assets
2. Danube Strategy – exploitation of Danube river and its tributaries (Drava, Mur) in a sustainable manner to ensure long-term competitiveness and sustainability of the tourism sector
3. EU Tourism policy – local development is accelerated by creating necessary infrastructure conditions increasing jobs and ensuring growth in rural, remote areas doomed to economic decline
Relevant national policies and priorities are:
- Hungarian National Rural Development strategy urging fight against poverty, population ageing and migration flows
- Zala County’s Development Strategy stressing the need for new tourism products and services (especially cycling paths alongside the Mur river)
</t>
  </si>
  <si>
    <t xml:space="preserve"> Integrated Development Strategy of Letenye highlighting active tourism potential of Mur river regions
- Strategy of tourism development for Republic Croatia by 2020
- Strategy for rural development (HR)
- Strategy of Traffic development for Republic Croatia for the period from 2014 to 2030
- Strategic marketing plan for tourism of Međimurje County 2014 to 2020 aiming to foster local assets in the area
- Varaždin County development strategy
- Strategy of touristic development of Varaždin County
- Strategic plan of economic development of Town Prelog
- Development Strategy of Town Ludbreg 2014-2020
 - Strategic plan for the development of tourism destination Ludbreg
Related similar initiatives implemented by partners:
- International Fair on Mur Bridge organised alongside the Mur River, HU-HR CBC IPA 2007-2013
- MEDGEN BORZA project (intergenerational cooperation on strengthening the local community), CBC SLO-HR 2007-2013
- ZELENI KRAJOLIKproject (GREEN LANDSCAPE), CBC SLO-HR 2007-2013</t>
  </si>
  <si>
    <t xml:space="preserve">Principles of equal opportunities and non-discrimination are top priorities of involved institutions considering the fact that the areas they represent are characterised by a unique cultural, ethnical and religious diversity. Therefore, both respect and promotion of these principles will be considered throughout the entire project: 
- Improved access to cultural and natural heritage sites located alongside the Letenye-Prelog-Ludbreg also means that different social groups (including minorities residing in the project area) will be able to benefit from new experiences made accessible through the implementation of Happy Bike project. Minorities will be reached through their representatives (public institutions, CSOs, etc.)
- Project website will be created in accordance with Web Content Accessibility Guidelines (WCAG) 
</t>
  </si>
  <si>
    <t xml:space="preserve"> - Inclusion of women and especially disadvantaged groups of people will be ensured during project events (workshops, events for cyclists). To ensure that they are aware on project and its events intermediary organisations will be directly contacted by beneficiaries
Moreover, Happy Bike assures gender equality since partner institutions expect a gender balance and therefore, already during the planning phase men and women were equally represented and all their opinions have been shared and considered.
Thus, Happy Bike will ensure that men and women from various religions, ages, ethnic origin, etc. will be equally represented in all the project phases, including Project Committee and within the project target groups.
</t>
  </si>
  <si>
    <t xml:space="preserve">Project is sustainability oriented showing a positive contribution towards Sustainable Development Goals. It will consider existing sustainability policies. It seeks to foster sustainability through equipping both visitors and local citizens participating in project-related events with skills and knowledge necessary for being able to take informed decisions when opting for the most environment-friendly means of transportation. Project partners consider all options for reducing the project’s carbon footprint during and beyond the project’s lifetime (e.g. organizing online meetings, online material instead hard copies, prioritising digital promotional possibilities instead of a large number of printed documents). </t>
  </si>
  <si>
    <t>9. Development of a trilingual mobile app providing accurate and up-to-date information to cyclists on the bycicle routes and related natural/cultural assets, 10. Creation of trilingual, joint project website which will serve as a unique point gathering all project-related news and events, 11. Organisation of 2 cross-border events for cyclists, 12. Organisation of 3 local events for cyclists, 13. Organisation of 6 local workshops in order to ensure that local population and other stakeholders are aware on traffic rules, 14. Successful organisation of three day Summer Cycling Camp for primary school kids in Croatia 15. Bike storing possibilities at 7 points of the ~100km-long bicycle trail, 16. 2 e-points situated in Letenye Cyclist Centre and Restplace in Oporovec</t>
  </si>
  <si>
    <t xml:space="preserve">Partners will exploit two possibilities to attract visitors to cultural and natural heritage sites: a) through active promotion (mainly through digital media) of the project and its activities resulting in an exceptional opportunity to discover the region's cultural and natural assets in an active and environment-friendly way. b) through organising a number of local and cross-border events aiming at gathering both recreational and professional cyclists from both countries. These events should continue event after the completion of the proposed Happy Bike project. </t>
  </si>
  <si>
    <t>LB: 2 workshops for cyclists, B1: 2 workshops for cyclists and 1 summer camp, B2: 2 workshops for cyclists where secondary aim of partners is to promote environment-friendly thinking among users of the newly established services</t>
  </si>
  <si>
    <t>LB/B1/B2: 2 local workshops respectively for cyclists where people with fewer opportunities will be represented</t>
  </si>
  <si>
    <t>LB: Designation of  ~36km-long bicycle path, B1: Designation of ~42km-long bicycle path, B2: Designation of ~35km-long bicycle path</t>
  </si>
  <si>
    <t>LB: One Info Centre for cyclists in Letenye and other 5 info points, B1: One Info Centre for cyclists in Oporovec and 4 info points, B2: 3 info points</t>
  </si>
  <si>
    <t>LB: 1 B1: 1 B2:1 Three different thematic routes with spectacular natural and cultural heritage elements situated alongside. The thematic routes will be intreconnected.</t>
  </si>
  <si>
    <t>LB: 5 information boards set up alongside the newly designated byclicle path, B1: 5 info boards, B2: 3 info boards</t>
  </si>
  <si>
    <t>Number of new e-points established</t>
  </si>
  <si>
    <t>LB: 1 B1: 1 At newly established cyclist centers (Letenye and Prelog) unlimited, free WIFI access will be ensured.</t>
  </si>
  <si>
    <t>LB: 2, B1: 4, B2: 1</t>
  </si>
  <si>
    <t xml:space="preserve">The bicycle road connects the partner settlements through nature-close roads along the Mura and Drava Rivers.In the frame of the proposed Project, partners intend to further develop network of local cycling routes while ensuring linkage of both sides of the Croatia-Hungary border and connection to the Eurovelo network. Thanks to a number of investments implemented by partner towns during the last years, number of visitants accommodated in local hotels shows a growing tendence which should be further encouraged through new development projects. 
Special attention is paid to environment-friendly and active toursim since all necessary natural conditions are met (untouched natural areas with extermely rich flora and fauna). One of the most important mid-term objectives of partners is to create innovative tourism attractions and products based on natural and cultural assets with the aim of ensuring both high quality job opportunities to local ciztens and tourism services to visitants. </t>
  </si>
  <si>
    <t xml:space="preserve">in order to ensure long-term competitiveness and sustainability of the tourism sector – reinforced through cooperation – as well as regional benefit from new developments and investments. 
Furthermore importance of the development of the tourism sector is also urged by the EUSDR Action Plan where special attention is paid to both tourism infrastructure and cycling routes.The interlinkage between different networks of routes along rivers (i.e. Sava, Drava or Mur) is of utmost importance in order to allow visitants to discover local and regional cultural or natural assests through making excurisons in a nature-close, active way.As stressed by Eurostat, tourism is one of the most important economic sectors able to boost employment and economic growth even in rural, peripheral or less-developped areas. Therefore, tourism plays “a significant role in the development of European regions” and the need for further development of the tourism sector is also stressed by the present programme.
</t>
  </si>
  <si>
    <t xml:space="preserve">To do so, small capillary bicycle routes will be developed/designated by the project with the aim of transforming the Letenye-Prelog-Ludbreg triangle into a unique active tourism destination. By laying down necessary infrastructural conditions, partners foresee ensuring linkage of the three towns allowing cyclists benefitting from main national and/or international bicycle networks to discover hidden corners of the extremely rich and diverse cultural and natural heritage of the Drava-Mur region. </t>
  </si>
  <si>
    <t xml:space="preserve">Through implementing the project intended to convert the Letenye-Prelog-Ludbreg triangle into cyclist friendly tourism destination, our main aim is to ensure both connection to the Eurovelo 13 network through connecting three towns (Letenye, Prelog and Ludbreg) representing different regions of the programme area (Zala, Medimurje and Varazdin counties) renowned by their wine roads and protected natural areas with spectacular flora and fauna of the Drava and Mur rivers. The Letenye-Prelog-Ludbreg capillary route to be developed by the project will ensure linkage of both sides of the Croatia-Hungary border, as well as connection to the Eurovelo network (overlapping with Eurovelo 13 route). Although partner towns are surrounded by bicycle pathways a better connection with national and international networks is still needed. </t>
  </si>
  <si>
    <t xml:space="preserve">On Hungarian side, Town of Letenye is connected to the South Zala Bycicle network which should be also connected to cross-border networks through implementing the project. Letenye is also connected to Wine Roads of Zala county and can be reached by bike from two directions: Tótszerdahely and Murarátka. The further development of bicycling network and bike paths in Međimurje-Varazidn and Zala Counties includes: 
(1) capillary and circular paths that are connected to Euro Velo 13 ('Iron Curtain'), MuraDrava Bike route and South Zala Bicycle Network. 
With the implementation of Happy bike route we would ensure better connections of these three regions and international bicycle routes that pass among them thus contributing to the programme's objective to convert the region's cultural and natural heritage into tourism attractions with income generating capabilities. </t>
  </si>
  <si>
    <t xml:space="preserve">Project Manager </t>
  </si>
  <si>
    <t>Duration: 20 months, Expected Output: Prelog's activities implemented successfully, all documentation submitted to LB accordinlgy. He will be also responsible for puplic procurement and contracting/starting works. He will also supervise implementation of all contracts, creates reports to be submitted at the request of LB</t>
  </si>
  <si>
    <t>1,3,6,7,8,12,13,14</t>
  </si>
  <si>
    <t>1, 11,14</t>
  </si>
  <si>
    <t>Promotion officer</t>
  </si>
  <si>
    <t>Duration: 20 months, Expected outputs: communication activities on Croatian side implemented successfully, project closing conference organised and coordinated accordigly, info brochure elaborated in accordance with target audiences' needs, key messages of the project reached target groups as foreseen</t>
  </si>
  <si>
    <t>2,3,4,6,7</t>
  </si>
  <si>
    <t>1, 10,14</t>
  </si>
  <si>
    <t>Travel Costs - Participation of project manager in transnational project meeting in Letenye. 3 meetings in total, Varaždin-Letenye/Letenye-Varaždin, Distance per meeting: 140 km (round trip), 3 meetings in total</t>
  </si>
  <si>
    <t>Travel Costs - Participation of project manager in transnational project meeting in Prelog. 3 meetings in total, Varaždin-Prelog/Prelog-Varaždin, Distance per meeting: 70 km (round trip), 3 meetings in total</t>
  </si>
  <si>
    <t>Technical project</t>
  </si>
  <si>
    <t>9. Activity 4.1: Development of missing sections of the bicycle routes in Ludbreg area</t>
  </si>
  <si>
    <t>Below budget line includes costs of Infrastructal works on the missing sections of the bicycle routes in Ludbreg area (No of roads LC 25094 and ŽC 2071)</t>
  </si>
  <si>
    <t>1 project manager - 5 hours per week - part time employment (12,5%)</t>
  </si>
  <si>
    <t>Project manager 12,5%</t>
  </si>
  <si>
    <t>LB - Letenye</t>
  </si>
  <si>
    <t xml:space="preserve">+3693544970 </t>
  </si>
  <si>
    <t xml:space="preserve">B1:1 B3:1 Works activities 4.1 and 4.4 should result in two successfully obtained building permits. </t>
  </si>
  <si>
    <t>Number of new bike storing facilities alongside the newly established/designated bicyle path</t>
  </si>
  <si>
    <t>Organisation of "recreational” cycling event in Letenye (Expected participants: 50, Duration: 1 day, Included services: preliminary trips held by organiser; refreshment and food for participants; accompanying cars providing mobile bike maintenance and repair services and transportation of luggages; medical services; tour guides; promotional article in printed media; promotional articles in specialised media; video-recording about the event.)</t>
  </si>
  <si>
    <t>Organisation of Transnational “professional” cycling event Ludbreg-Prelog-Letenye trip (Expected nr of participants: 60, Duration: 1-day, Included services: preliminary trips held by organiser; bus rental to ensure transportation of cyclists (if needed); rental of vehicle for bike transportation; refreshment and food for participants; accompanying cars providing mobile bike maintenance and repair services; costs of renting equipment for setting finish line and stop watches; police security; medical service; recruiting volunteers; promotional article in printed meadia; promotional articles in specialised media; video-recording; 60-minute-"extreme" bike show.)</t>
  </si>
  <si>
    <t xml:space="preserve">Settlements affected by the project are as follows:
In Hungary:
 Letenye (LB) – Cyclist Centre to be established and thematic bicycle path to be designated (Activity 4.3), project beneficiary affected by different outcomes
In Croatia:
 Obrankovec (B3) – affected by development of missing sections of bicycle route (Activity 4.1)
 Selnik Ludbreški (B3) – the same as above
 Poljanec (B3) – the same as above
 Draškovec (B1) – affected by the preparation of technical documentation to obtain building permit for bike path (activity 4.4)
 Oporovec (B1) – activity 4.4 and 4.5 (rest place will be established)
 Otok (B1) – activity 4.5 (info pint to be established)
 Čehovec (B1) - activity 4.5 (info pint to be established)
 Sveti Đurđ (B2) - activity 4.5 (info pint to be established)
 Ludbreg (B2) – project beneficiary affected by different outcomes
 Prelog (B1) - project beneficiary affected by different outcomes
</t>
  </si>
  <si>
    <t>Tourist Board of Town Prelog</t>
  </si>
  <si>
    <t>45344793804</t>
  </si>
  <si>
    <t>np</t>
  </si>
  <si>
    <t>Međimurska</t>
  </si>
  <si>
    <t>www.tz-prelog.hr</t>
  </si>
  <si>
    <t>LB: 419,15 m2 (gross); B1 will renovate a 114,59 m2 (gross) part of a building in which the tourists and bicyclists will get all needed informations at info-point and have a restplace.</t>
  </si>
  <si>
    <t>B1 - GP</t>
  </si>
  <si>
    <t>k.o Oporovec cadaster number 32/1, ZK 60/1</t>
  </si>
  <si>
    <t>construction works, craft works, hydro installations- construction and assembly works, electrical installations, thermotechnical installations</t>
  </si>
  <si>
    <t xml:space="preserve">In line with the Programme priority specific objective, our main aim is to build on the Drava-Mur region’s expetcionally rich and diverse natural and cultural heritage in order to generate economic growth in involved programme regions (Letenye, Grad Prelog and Grad Ludbreg) through attracting a greater number of visitors thanks to infrastructure developments implemented in the frame of the proposed project.With the establishent of the Letenye-Prelog-Ludbreg bycicle culture-and-nature-interpreteation trail (with a total distance of around 100 km) both local population and visitors will have improved acces to picturesque, almost untouched natural areas and other potential tourists sites throughout the Drava-Mur region. A special mention has to be made to the fact that the Letenye-Prelog-Ludbreg capillary route to be developed by the project will ensure linkage of both sides of the Croatia-Hungary border, as well as connection to the Eurovelo network (overlapping with Eurovelo 13 route).
</t>
  </si>
  <si>
    <t xml:space="preserve">Main target group of the investments (i.e. creation of the Cyclist’s Visitor Centre in Letenye and Oporovec) are those looking for healthy physical activities, spending time outdoors and/or recreational and relaxation opportunities (with a particular focus on “mental relaxation”). Since involved areas are extremely rich in undiscovered, nature-close areas besides having an important bycicle-route infrastructure and a number of related tourism attractions, the need for such Visitor Centres providing accurate information on the bicycle network itself and all relevant cultural and natural assets seems to be justified. Bearing in mind, that cyclists may require some basic services (such as appropriate and safe storage, the possibility to wash the bikes and to perform small maintenance activities on them, etc.) while undertaking their trip whether they opt for staying for a few days in the Mur region </t>
  </si>
  <si>
    <t>The project should result in a higher number of visitors attracted to involved areas while ensuring that they will have at least one overnight stay in Zone B defined by the Handbook to TourismProjects in the Hungary-Croatia IPA Cross-border Co-operation Programme 2007-2013. To do so, besides establishing and/or improving necessary infrastructure conditions we also foresee to organise a series of pioneering events which should lay down foundations for the creation of a long-term cycling culture on both sides of the HU-HR border. Areas involved in the Happy Bike project are: Zala county, Medimurje and Varzdin counties. At least 11 settlements should benefit from the project while around 60 cultural and natural attractions will be made accessible. Main target group of the investments (i.e. creation of the Cyclist’s Visitor Centre in Letenye and Oporovec) are those looking for healthy physical activities, spending time outdoors and/or recreational and relaxation opportunities</t>
  </si>
  <si>
    <t xml:space="preserve">B2: 300 m of new bicycle path to be constructed, B3: 614 m of bicycle path will be constructed </t>
  </si>
  <si>
    <t>B2 - Grad Ludbreg</t>
  </si>
  <si>
    <t>143/8,k.o.Sveti Đurđ;   1335/2,k.o.Ludbreg;   124/1,k.o.Selnik, 1252,k.o.Ludbreg;    1897,k.o.Čukovec</t>
  </si>
  <si>
    <t>1.Establishment of 3 rest places/bike points and one parking lot                                                                           2. Arrangement of the local road</t>
  </si>
  <si>
    <t>B3 - ŽUC Varaždin</t>
  </si>
  <si>
    <t>1. Development of missing sections of the bicycle routes in Ludbreg area on the county roads</t>
  </si>
  <si>
    <t>Expected outputs of the Happy Bike project are as follows: 1. Establishment of bicycle centre Letenye where cyclists will be able to relax, store and repair bicycles, if needed, besides other services to be provided. 2. Establishment of restplace for cyclist in Oporovec providing new services to cyclists (e.g. free WIFI access, self-services for cyclists, etc.). 3. Establishment of 14 relax/info points alongside the newly designated bicycle paths (around 100 km-long). 4. Placement of 232 traffic signs alltogether alongisde the newly designated byclicle routes, 5. Improved connection to the Eurovelo network from both sides of the border, 6. Creation of three thematic bycicle routes (based on natural and cultural values) in the areas of Letenye, Prelog and Ludbreg, 7. Setting 33 information boards alongisde the newly designated byclicle routes, 8. Establishment of 12 bycicle sheds in the project area</t>
  </si>
  <si>
    <t>Number of traffic signs placed alongside the newly designated byclicle paths</t>
  </si>
  <si>
    <t>LB: 150 Traffic signs, B1: 25 traffic signs, B2: 57 traffic signs</t>
  </si>
  <si>
    <t>Expected outputs are:1.Establishment of bicycle centre Letenye where cyclists will be able to relax, store and repair bicycles besides other services to be provided 2.Establishment of restplace for cyclist in Oporovec providing new services to cyclists (e.g. free WIFI, self-services for cyclists, etc.) 3.Establishment of 14 relax/info points alongside the newly designated bicycle paths (aprox100 km) 4.Placement of 232 traffic signs alltogether alongisde the newly designated byclicle routes, 5.Improved connection to the Eurovelo network from both sides of the border 6.Creation of three thematic bycicle routes (based on natural and cultural values) in the areas of Letenye, Prelog and Ludbreg 7.Setting 33 information boards alongisde the newly designated byclicle routes 8.Establishment of 12 bycicle sheds in the project area 9. Development of a trilingual mobile app providing accurate and up-to-date information to cyclists on the bycicle routes and related natural/cultural assets</t>
  </si>
  <si>
    <t xml:space="preserve">On stakeholder level, the project will have the following benefits: 1. Stakeholders meaning both visitors and local population will benefit from improved local, regional and cross-border linkage of the three towns Letenye-Prelog-Ludbreg via bicycle while enuring high quality cycling tourism services (rest places, reparing and storing services, culture and nature interpretation boards, multilingual information maps in both digital and printed formats, etc.) 2. Improved access to natural and cultural heritage elements in three project regions (Muramente, Medimurje and Varazdin counties) and more opportunities to be interactively engaged with other stakeholders through digital media. 3. Stakeholders will benefit from community building opportunities through participating in cross-border events where experience and/cultural exchanges will be also encouraged. Besides, they will be equipped with necessary knowledge to be able to use safely bicycle roads. </t>
  </si>
  <si>
    <t>10. Creation of trilingual joint project website which will serve as a unique point gathering all project-related news and events 11.Organisation of 2 cross-border events for cyclists 12.Organisation of 3 local events for cyclists 13.Organisation of 6 local workshops in order to ensure that local population and other stakeholders are aware on traffic rules 14.Successful organisation of three day Summer Cycling Camp for primary school kids in Croatia 15.Bike storing possibilities at 7 points of the ~100km-long bicycle trail 16.2 e-points situated in Letenye Cyclist Centre and Restplace in Oporovec.General benefits: 1.Improved attractiveness of involved areas contributing to the generation of empoyment and higher levels of income for the region 2.Improved visibility of the involved areas specially benefitting those dedicated to tourism services 3.Creation of a long-term cycling culture in the region should be advantageous for both local population and local economic actors.</t>
  </si>
  <si>
    <t>Općina Sveti Đurđ</t>
  </si>
  <si>
    <t>43894275599</t>
  </si>
  <si>
    <t>02657368</t>
  </si>
  <si>
    <t>Ulica braće Radić 1</t>
  </si>
  <si>
    <t>Sveti Đurđ</t>
  </si>
  <si>
    <t>www.sveti-djurdj.hr</t>
  </si>
  <si>
    <t>Termál Út Kis-Balaton Kerékpáros Egyesület</t>
  </si>
  <si>
    <t>Zala</t>
  </si>
  <si>
    <t>http://www.tekerjvelunk.hu/</t>
  </si>
  <si>
    <t>00 19 283337</t>
  </si>
  <si>
    <t>19283337-1-20</t>
  </si>
  <si>
    <t>Hévíz</t>
  </si>
  <si>
    <t>Kodály Z. út 26</t>
  </si>
  <si>
    <t xml:space="preserve">On one hand, project should result in the creation of new cyclists' services through ensuring all necessary infastructural conditions. These services should have long-term benefits on both local and regional economies thus contributing to the conversion of involved regions into active-tourism friendly attractive areas. Therefore, project should boost economic development of settlements and areas affected by the project through making accessible new cultural and natural-heritage sites on both sides of the border, by contributing to the increase of guest nights in programme regaion and thus, encouraging local tourism service providers to improve their offer and/or create new quality jobs to motivate local citizens to stay in the region. Further cooperation opportunities to extend the Mura-Drava Happy Bike bicycle path to other areas will be also considered by partners before finalising the proposed project. </t>
  </si>
  <si>
    <t xml:space="preserve">As for both infrastructure activities (Letenye Cyclist Centre and Rest Place in Oporovec), construction activities as detailed under activity 4.3 and 4.4, should result in buildings with better energy performance levels and with reduced CO2 emissions thanks to better insulation of the building. </t>
  </si>
  <si>
    <t>LB: 1 B1: 5 B2:2 B3: 3 Settlements situated on the new bicycle trail are: Letenye, Obrankovec, Selnik Ludbreski, Poljanec, Sveti Durd, Ludbreg, Prelog, Draskovec, Oporovec, Otok and Cehovec. Total population of these settlements is ~ 35.000</t>
  </si>
  <si>
    <t>LB: 20, B1:20 B2: 14</t>
  </si>
  <si>
    <t>LB: 1 B1: 5 B2:2 B3: 3 Towns situated on the new bicycle trail are: Letenye, Obrankovec, Selnik Ludbreski, Poljanec, Sveti Durd, Ludbreg, Prelog, Draskovec, Oporovec, Otok and Cehovec. Total population of these settlements is ~ 35.000</t>
  </si>
  <si>
    <t>Underpinning documents attached to application: (1) Letenye Photo documentation, (2) Prelog photo documentation, (3) Ludbreg photo documentation, (4) ZUC photo documentation</t>
  </si>
  <si>
    <t>1, 9</t>
  </si>
  <si>
    <t>Duration: 20 months, Expected Output: Ludbreg's activities implemented successfully, all documentation submitted to LB accordinlgy. He will be also responsible for puplic procurement and contracting/starting works. He will also supervise implementation of all contracts, creates reports to be submitted at the request of LB</t>
  </si>
  <si>
    <t>Duration: 20 months, Expected Output: ZUC's activities implemented successfully, all documentation submitted to LB accordinlgy. He will be also responsible for puplic procurement and contracting/starting works. He will also supervise implementation of all contracts, creates reports to be submitted at the request of LB</t>
  </si>
  <si>
    <t>3. Renovation of building to be transformed into Letenye’s Cyclist Centre</t>
  </si>
  <si>
    <t xml:space="preserve">1. Establishment of 5 rest places
</t>
  </si>
  <si>
    <t>2. Installation of information/interpretation boards</t>
  </si>
  <si>
    <t>0117; 0191; 648; 6615; 1463/3</t>
  </si>
  <si>
    <t>588</t>
  </si>
  <si>
    <t>0175/7; 099/3; 0274/4; 0140/1; 0117; 0151/3; 0151/4; 0151/5; 0151/6; 0163; 0172; 0191; 0279/3; 0287; 0175/6; 0274/3; 0288; 0144/1, 6615, 1346, 1463/3; 648; 588</t>
  </si>
  <si>
    <t xml:space="preserve">. Letenye and Prelog twin-towns already implemented common projects on both sides of the border. During the previous programming period (under the HUHR CB IPA Programme) they implemented a common drainage-water management project and jointly organized the Muradside Bridge Fair event. The two towns maintain tight cultural, sport and public relations to each other. Both towns plan such bicycle roads which create direct connections among the towns through the old cross-border. Letenye and Prelog maintain partner-village relations with Ludbreg, town situated in Varasdin County. Ludbreg can be found in the neighborhood of Prelog on the other side of Drava River. The vision of the project partners is the realization of Letenye-Prelog-Ludbreg cycling connection. </t>
  </si>
  <si>
    <t>contract</t>
  </si>
  <si>
    <t>Marking and labeling the bicycle route with traffic signs (vertical signalization with instalation) along the bike path on Varaždin county (cca 35 km of round route) and turist facilities; info boards with route map - 3 pcs along the route with the touristic and other interesting information and with the map of the route;  info boards with shelter -  3 pcs for info point in Sveti Đurđ, Ludbreg and Selnik (self service stand, bicycle stand, info panel with map, solar set, acu and USB charger, bench, shelter);  parking lot for bicycles with shelter in the center of the Town Ludbreg where all cyclists could left theire bicycles on save point and visit on foot some of the tourist attractions located in the center of the Town. The traffic plan is a relevant for the correct marking and labeling of a bicycle route, because it shows a detailed plan and directiones on how and where to put the markings and signs for the contractor.</t>
  </si>
  <si>
    <t>Project manager  (50% part time employment 20 hours per week)</t>
  </si>
  <si>
    <t xml:space="preserve"> Fee of external project financial and administrative managment.</t>
  </si>
  <si>
    <t xml:space="preserve">External communication manager </t>
  </si>
  <si>
    <t>Public procurement service</t>
  </si>
  <si>
    <t>Fee of design of byclist information boards. Included services: Preparational activities, design of 150 boards.</t>
  </si>
  <si>
    <t xml:space="preserve">Geomechanical works with drafting on geotehnical elaborate same as geodetic services are prerequisits for drafting on Main project. Therefore are given: structure and geotehnical characteristics of soil basis and determining method and the depth of foundation (Draškovec - Oporovec - 2,8 km)Giving preliminary solution and drafting on preliminary project for bicycle path with drafting on main project - defining the method, size, deadlines, costs and possibilities of construction of all buildings what will enable efficient and secure travel for cyclist (Draškovec - Oporovec - 2,8 km) </t>
  </si>
  <si>
    <t>Allotment survey for k.o. Selnik</t>
  </si>
  <si>
    <t>Technical projects of the infrastructure works on the roads No LC 25094 and ŽC 2071 and allotment survey costs for Selnik.</t>
  </si>
  <si>
    <t>Infrastructal works on the missing sections of the bicycle routes in Ludbreg area No of the road LC 25094(1023 k.o. Krizovjan)</t>
  </si>
  <si>
    <t>Promotional Officee</t>
  </si>
  <si>
    <t>1 project manager - Town Prelog - 20 hours per week - part time employment (50%). 1 Promotional Office - Town Prelog- 20 hours per week- part time employment (50%).</t>
  </si>
  <si>
    <t>Location Vinogradska ulica Poljanec, 1023 k.o. Križovljan</t>
  </si>
  <si>
    <t>28.07.2017</t>
  </si>
  <si>
    <t>Class: UP/I-361-03/17-01/000040, No: 2186/1-14-3-17-0011</t>
  </si>
  <si>
    <t>Class: UP/I-361-03/17-01/000041, No: 2186/1-14-3-17-0012</t>
  </si>
  <si>
    <t xml:space="preserve">B3: 612 (281 m+331 m) m of bicycle path will be constructed </t>
  </si>
  <si>
    <t xml:space="preserve">Purchas of land on lot numbers1485/1,1909,1911 ,1912, according to price estimate provided. </t>
  </si>
  <si>
    <r>
      <t>Involved Partners:</t>
    </r>
    <r>
      <rPr>
        <sz val="9"/>
        <color rgb="FFFF0000"/>
        <rFont val="Arial"/>
        <family val="2"/>
        <charset val="238"/>
      </rPr>
      <t xml:space="preserve"> LB,</t>
    </r>
    <r>
      <rPr>
        <sz val="9"/>
        <rFont val="Arial"/>
        <family val="2"/>
      </rPr>
      <t xml:space="preserve"> B1,</t>
    </r>
    <r>
      <rPr>
        <sz val="9"/>
        <color rgb="FFFF0000"/>
        <rFont val="Arial"/>
        <family val="2"/>
        <charset val="238"/>
      </rPr>
      <t xml:space="preserve"> B2</t>
    </r>
    <r>
      <rPr>
        <sz val="9"/>
        <rFont val="Arial"/>
        <family val="2"/>
      </rPr>
      <t xml:space="preserve">
Duration: 4 months 
Opening and closing conference will be organised by partners at the beginning and at the end of the project, espectivey. Also at least 1 press conference should take place per country. </t>
    </r>
  </si>
  <si>
    <r>
      <t xml:space="preserve">Involved Partners: B3 – ŽUC
Duration: </t>
    </r>
    <r>
      <rPr>
        <sz val="9"/>
        <color rgb="FFFF0000"/>
        <rFont val="Arial"/>
        <family val="2"/>
        <charset val="238"/>
      </rPr>
      <t>8 months</t>
    </r>
    <r>
      <rPr>
        <sz val="9"/>
        <rFont val="Arial"/>
        <family val="2"/>
      </rPr>
      <t xml:space="preserve"> (2 months for public procurement and 6 months for infrastructure works)
During these </t>
    </r>
    <r>
      <rPr>
        <sz val="9"/>
        <color rgb="FFFF0000"/>
        <rFont val="Arial"/>
        <family val="2"/>
        <charset val="238"/>
      </rPr>
      <t>9 month</t>
    </r>
    <r>
      <rPr>
        <sz val="9"/>
        <rFont val="Arial"/>
        <family val="2"/>
      </rPr>
      <t xml:space="preserve">s, B3 assure that missing sections of the Letenye-Prelog-Ludbreg bicycle route will be developed.
</t>
    </r>
  </si>
  <si>
    <r>
      <t xml:space="preserve">Responsible Partner: </t>
    </r>
    <r>
      <rPr>
        <sz val="9"/>
        <color rgb="FFFF0000"/>
        <rFont val="Arial"/>
        <family val="2"/>
        <charset val="238"/>
      </rPr>
      <t>B1</t>
    </r>
    <r>
      <rPr>
        <sz val="9"/>
        <rFont val="Arial"/>
        <family val="2"/>
      </rPr>
      <t xml:space="preserve">
Involved Partners: LB, B2 
Duration: 1 month
</t>
    </r>
    <r>
      <rPr>
        <sz val="9"/>
        <color rgb="FFFF0000"/>
        <rFont val="Arial"/>
        <family val="2"/>
        <charset val="238"/>
      </rPr>
      <t xml:space="preserve">B1 </t>
    </r>
    <r>
      <rPr>
        <sz val="9"/>
        <rFont val="Arial"/>
        <family val="2"/>
      </rPr>
      <t xml:space="preserve">will organise a three-day Summer Cycling Camp for Kids to allow participants to get familiar with each other's culture, traditions and natural assets besides promoting the newly establised infrastructure. </t>
    </r>
  </si>
  <si>
    <r>
      <t xml:space="preserve">Involved Partners: LB – Town of Letenye, </t>
    </r>
    <r>
      <rPr>
        <sz val="9"/>
        <rFont val="Arial"/>
        <family val="2"/>
      </rPr>
      <t xml:space="preserve">B1 – </t>
    </r>
    <r>
      <rPr>
        <sz val="9"/>
        <color rgb="FFFF0000"/>
        <rFont val="Arial"/>
        <family val="2"/>
        <charset val="238"/>
      </rPr>
      <t xml:space="preserve"> Town</t>
    </r>
    <r>
      <rPr>
        <sz val="9"/>
        <rFont val="Arial"/>
        <family val="2"/>
      </rPr>
      <t xml:space="preserve"> Prelog, </t>
    </r>
    <r>
      <rPr>
        <sz val="9"/>
        <rFont val="Arial"/>
        <family val="2"/>
      </rPr>
      <t xml:space="preserve">B2 – </t>
    </r>
    <r>
      <rPr>
        <sz val="9"/>
        <color rgb="FFFF0000"/>
        <rFont val="Arial"/>
        <family val="2"/>
        <charset val="238"/>
      </rPr>
      <t>Town</t>
    </r>
    <r>
      <rPr>
        <sz val="9"/>
        <rFont val="Arial"/>
        <family val="2"/>
      </rPr>
      <t xml:space="preserve"> Ludbreg
Duration: 6 months
During this project period, partners will carry out a series of activities needed to ensure proper conditions for cyclists benefitting from the newly established bicycle trails.  </t>
    </r>
  </si>
  <si>
    <t>M5-M12</t>
  </si>
  <si>
    <t>M5-M8</t>
  </si>
  <si>
    <t>M10</t>
  </si>
  <si>
    <r>
      <t>LB</t>
    </r>
    <r>
      <rPr>
        <sz val="10"/>
        <rFont val="Arial"/>
        <family val="2"/>
        <charset val="238"/>
      </rPr>
      <t xml:space="preserve"> will hire</t>
    </r>
    <r>
      <rPr>
        <sz val="10"/>
        <rFont val="Arial"/>
        <family val="2"/>
        <charset val="238"/>
      </rPr>
      <t xml:space="preserve"> </t>
    </r>
    <r>
      <rPr>
        <sz val="10"/>
        <color rgb="FFFF0000"/>
        <rFont val="Arial"/>
        <family val="2"/>
        <charset val="238"/>
      </rPr>
      <t>one</t>
    </r>
    <r>
      <rPr>
        <sz val="10"/>
        <rFont val="Arial"/>
        <family val="2"/>
        <charset val="238"/>
      </rPr>
      <t xml:space="preserve"> external communication expert</t>
    </r>
    <r>
      <rPr>
        <sz val="10"/>
        <rFont val="Arial"/>
        <family val="2"/>
        <charset val="238"/>
      </rPr>
      <t xml:space="preserve"> </t>
    </r>
    <r>
      <rPr>
        <sz val="10"/>
        <color rgb="FFFF0000"/>
        <rFont val="Arial"/>
        <family val="2"/>
        <charset val="238"/>
      </rPr>
      <t xml:space="preserve">and B1 will employ one internal communication expert </t>
    </r>
    <r>
      <rPr>
        <sz val="10"/>
        <rFont val="Arial"/>
        <family val="2"/>
        <charset val="238"/>
      </rPr>
      <t>who will ensure that the project's key message reaches target audiences accordingly</t>
    </r>
  </si>
  <si>
    <r>
      <t xml:space="preserve">Ms Nóra Hámori, </t>
    </r>
    <r>
      <rPr>
        <sz val="10"/>
        <color rgb="FFFF0000"/>
        <rFont val="Arial"/>
        <family val="2"/>
        <charset val="238"/>
      </rPr>
      <t>Financial manager</t>
    </r>
    <r>
      <rPr>
        <sz val="10"/>
        <rFont val="Arial"/>
        <family val="2"/>
        <charset val="238"/>
      </rPr>
      <t xml:space="preserve"> 24 working hours per Month (15% of total working hours)</t>
    </r>
  </si>
  <si>
    <t>042 420 204</t>
  </si>
  <si>
    <t>Katalenić</t>
  </si>
  <si>
    <t xml:space="preserve">Svjetlana </t>
  </si>
  <si>
    <t>svjetlana.katalenic@ludbreg.hr</t>
  </si>
  <si>
    <t>Counselor</t>
  </si>
  <si>
    <r>
      <t>Activity 2.1: Elaboration of trinligual Project leaflets (</t>
    </r>
    <r>
      <rPr>
        <sz val="9"/>
        <color rgb="FFFF0000"/>
        <rFont val="Arial"/>
        <family val="2"/>
        <charset val="238"/>
      </rPr>
      <t>6</t>
    </r>
    <r>
      <rPr>
        <sz val="9"/>
        <rFont val="Arial"/>
        <family val="2"/>
      </rPr>
      <t xml:space="preserve">months, all partners involved)
Activity 2.2: Design and printing of project posters and roll ups (6 months, all partners involved)
</t>
    </r>
    <r>
      <rPr>
        <sz val="9"/>
        <color rgb="FFFF0000"/>
        <rFont val="Arial"/>
        <family val="2"/>
        <charset val="238"/>
      </rPr>
      <t>Activity 2.3: Elaboration of trinligual info maps on bicycle routes (12 months, all partners involved)</t>
    </r>
    <r>
      <rPr>
        <sz val="9"/>
        <rFont val="Arial"/>
        <family val="2"/>
      </rPr>
      <t xml:space="preserve">
Activity 2.4: Design of promotional gift packs (</t>
    </r>
    <r>
      <rPr>
        <sz val="9"/>
        <color rgb="FFFF0000"/>
        <rFont val="Arial"/>
        <family val="2"/>
        <charset val="238"/>
      </rPr>
      <t>12</t>
    </r>
    <r>
      <rPr>
        <sz val="9"/>
        <rFont val="Arial"/>
        <family val="2"/>
      </rPr>
      <t xml:space="preserve"> months, LB involved)</t>
    </r>
  </si>
  <si>
    <r>
      <t xml:space="preserve">LB, B1, </t>
    </r>
    <r>
      <rPr>
        <sz val="9"/>
        <color rgb="FFFF0000"/>
        <rFont val="Arial"/>
        <family val="2"/>
        <charset val="238"/>
      </rPr>
      <t>B2</t>
    </r>
  </si>
  <si>
    <r>
      <t xml:space="preserve">Responsible Partner: B2
Involved Partners: LB, B1
Duration: </t>
    </r>
    <r>
      <rPr>
        <sz val="9"/>
        <color rgb="FFFF0000"/>
        <rFont val="Arial"/>
        <family val="2"/>
        <charset val="238"/>
      </rPr>
      <t>12</t>
    </r>
    <r>
      <rPr>
        <sz val="9"/>
        <rFont val="Arial"/>
        <family val="2"/>
      </rPr>
      <t xml:space="preserve"> months
Two locally held workshops will take place per town in order to ensure that both visitors and local citizens benefitting from the newly established services are familiar with traffic rules. </t>
    </r>
  </si>
  <si>
    <t>chages Prelog</t>
  </si>
  <si>
    <t>M7-M19</t>
  </si>
  <si>
    <r>
      <t xml:space="preserve">Involved Partners: B1
Duration: </t>
    </r>
    <r>
      <rPr>
        <sz val="9"/>
        <color rgb="FFFF0000"/>
        <rFont val="Arial"/>
        <family val="2"/>
        <charset val="238"/>
      </rPr>
      <t>12</t>
    </r>
    <r>
      <rPr>
        <sz val="9"/>
        <rFont val="Arial"/>
        <family val="2"/>
      </rPr>
      <t xml:space="preserve"> months </t>
    </r>
    <r>
      <rPr>
        <sz val="9"/>
        <color rgb="FFFF0000"/>
        <rFont val="Arial"/>
        <family val="2"/>
        <charset val="238"/>
      </rPr>
      <t>5</t>
    </r>
    <r>
      <rPr>
        <sz val="9"/>
        <rFont val="Arial"/>
        <family val="2"/>
      </rPr>
      <t xml:space="preserve"> months for public procurement and </t>
    </r>
    <r>
      <rPr>
        <sz val="9"/>
        <color rgb="FFFF0000"/>
        <rFont val="Arial"/>
        <family val="2"/>
        <charset val="238"/>
      </rPr>
      <t xml:space="preserve">7 </t>
    </r>
    <r>
      <rPr>
        <sz val="9"/>
        <rFont val="Arial"/>
        <family val="2"/>
      </rPr>
      <t>months of implementation)
Adaptation/reconstruction of the restplace for cyclist in Oporovec will be ensured through implementing this activity.</t>
    </r>
  </si>
  <si>
    <r>
      <t>M5-</t>
    </r>
    <r>
      <rPr>
        <sz val="9"/>
        <color rgb="FFFF0000"/>
        <rFont val="Arial"/>
        <family val="2"/>
        <charset val="238"/>
      </rPr>
      <t>M17</t>
    </r>
  </si>
  <si>
    <t>Cadastral lot 1485/5 k.o. Selnik</t>
  </si>
  <si>
    <t>Cadastral lot 1909/2 k.o. Selnik</t>
  </si>
  <si>
    <t>Cadastral lot 1911/2 k.o. Selnik</t>
  </si>
  <si>
    <t>Cadastral lot 1912/3 k.o. Selnik</t>
  </si>
  <si>
    <t>Infrastructal works on the missing sections of the bicycle routes in Ludbreg area No of the road ŽC 2071 (1912/3, 1911/2, 1909/2, 1078, 1494/3, 1485/5, 671/54, 671/11, 1137/3 k.o. Selnik)</t>
  </si>
  <si>
    <r>
      <t xml:space="preserve">Location Obrankovec, Selnik, cadastral lot </t>
    </r>
    <r>
      <rPr>
        <sz val="10"/>
        <color rgb="FFFF0000"/>
        <rFont val="Arial"/>
        <family val="2"/>
        <charset val="238"/>
      </rPr>
      <t xml:space="preserve">1912/3, 1911/2, 1909/2, 1078, 1494/3, 1485/5, 671/54, 671/11, 1137/3 k.o. Selnik </t>
    </r>
  </si>
  <si>
    <r>
      <t xml:space="preserve">1023 k.o.Križovljan; </t>
    </r>
    <r>
      <rPr>
        <sz val="10"/>
        <color rgb="FFFF0000"/>
        <rFont val="Arial"/>
        <family val="2"/>
        <charset val="238"/>
      </rPr>
      <t xml:space="preserve">1912/3, 1911/2, 1909/2, 1078, 1494/3, 1485/5, 671/54, 671/11, 1137/3 k.o. Selnik </t>
    </r>
  </si>
  <si>
    <t>Varaždinska county - instead od Varaždinska county it should be Ludbreg</t>
  </si>
  <si>
    <t>changes Ludbreg</t>
  </si>
  <si>
    <t>M13-M16</t>
  </si>
  <si>
    <t>M11-M20</t>
  </si>
  <si>
    <t>M17-M20</t>
  </si>
  <si>
    <t>info maps of the whole Happy bike route - 3000 pcs, on 4 languages. Translation on 4 languages:Maps are a part of the material that will be used for publicity,promotion and communication and are esential to establish contact with visitors form different countries. The translation of maps in 4 languages enables us to produce a multilingual communication material.</t>
  </si>
  <si>
    <r>
      <t>In Town of Letenye, a bicycle centre will be set up where cyclists will be able to relax, store and repair bicycles, if needed, besides other services to be provided. To do so, the following activities should be completed during this time period: 1. Refurbishment of the main bulding:
• restructuring of internal spaces
• transformation of internal space into shower room (separately for men and women)
• creation of dining room with possibilities to warm up food and/or use water
• establishment of exhibition space on the ground floor
• establishment of building office
• replacement of tiles
• replacement of power lines
• interior painting
• refurbishment of toilets
• establishment of restplaces on the first level of the building (2 “community rooms”)
• establishment of large community room on the ground floor (to be used also for events)
• insulation of the whole building
• replacement of front doors and windows 
• refurbishment of terraces
2. Refurbishment of storage building (out of service currently)
• Establishment of kitchen (to warm up food, to cook, etc.)
• reorganisation of storage spaces and establishment of new spaces for storing bikes
• refurbishment of roof
• replacement of electric cables
• replacement of pipelines
• replacement of tiles
• external isolation
• replacement of doors and windows
. •</t>
    </r>
    <r>
      <rPr>
        <sz val="10"/>
        <color rgb="FFFF0000"/>
        <rFont val="Arial"/>
        <family val="2"/>
        <charset val="238"/>
      </rPr>
      <t xml:space="preserve"> production of 50 cyclist information boards
• production of supporting structure for 50 cyclist information boards
• Production of 18 natural/culture interpretation boards
• Establishment of 5 restplaces in Letenye area</t>
    </r>
    <r>
      <rPr>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</si>
</sst>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1]"/>
    <numFmt numFmtId="165" formatCode="dd/mm/yyyy;@"/>
  </numFmts>
  <fonts count="73" x14ac:knownFonts="1">
    <font>
      <sz val="10"/>
      <name val="Arial"/>
      <charset val="238"/>
    </font>
    <font>
      <u/>
      <sz val="10"/>
      <color indexed="12"/>
      <name val="Arial"/>
      <family val="2"/>
      <charset val="238"/>
    </font>
    <font>
      <sz val="11"/>
      <name val="Arial Narrow"/>
      <family val="2"/>
      <charset val="238"/>
    </font>
    <font>
      <sz val="8"/>
      <name val="Arial"/>
      <family val="2"/>
      <charset val="238"/>
    </font>
    <font>
      <sz val="10"/>
      <name val="Arial"/>
      <family val="2"/>
      <charset val="238"/>
    </font>
    <font>
      <b/>
      <sz val="11"/>
      <name val="Arial"/>
      <family val="2"/>
    </font>
    <font>
      <b/>
      <sz val="10"/>
      <name val="Arial"/>
      <family val="2"/>
    </font>
    <font>
      <b/>
      <sz val="14"/>
      <name val="Arial"/>
      <family val="2"/>
    </font>
    <font>
      <b/>
      <sz val="18"/>
      <name val="Arial"/>
      <family val="2"/>
    </font>
    <font>
      <sz val="12"/>
      <name val="Arial"/>
      <family val="2"/>
    </font>
    <font>
      <sz val="11"/>
      <name val="Arial"/>
      <family val="2"/>
    </font>
    <font>
      <i/>
      <sz val="11"/>
      <name val="Arial"/>
      <family val="2"/>
    </font>
    <font>
      <sz val="10"/>
      <name val="Arial"/>
      <family val="2"/>
      <charset val="238"/>
    </font>
    <font>
      <b/>
      <sz val="12"/>
      <name val="Arial"/>
      <family val="2"/>
    </font>
    <font>
      <b/>
      <sz val="7"/>
      <name val="Arial"/>
      <family val="2"/>
    </font>
    <font>
      <sz val="10"/>
      <color indexed="18"/>
      <name val="Arial"/>
      <family val="2"/>
    </font>
    <font>
      <u/>
      <sz val="10"/>
      <name val="Arial"/>
      <family val="2"/>
      <charset val="238"/>
    </font>
    <font>
      <b/>
      <u/>
      <sz val="10"/>
      <name val="Arial"/>
      <family val="2"/>
    </font>
    <font>
      <u/>
      <sz val="10"/>
      <name val="Arial"/>
      <family val="2"/>
      <charset val="238"/>
    </font>
    <font>
      <b/>
      <u/>
      <sz val="10"/>
      <name val="Arial"/>
      <family val="2"/>
    </font>
    <font>
      <b/>
      <sz val="10"/>
      <name val="Arial"/>
      <family val="2"/>
    </font>
    <font>
      <b/>
      <sz val="12"/>
      <name val="Arial"/>
      <family val="2"/>
    </font>
    <font>
      <sz val="10"/>
      <color indexed="10"/>
      <name val="Arial"/>
      <family val="2"/>
      <charset val="238"/>
    </font>
    <font>
      <i/>
      <sz val="10"/>
      <name val="Arial"/>
      <family val="2"/>
      <charset val="238"/>
    </font>
    <font>
      <b/>
      <sz val="11"/>
      <name val="Arial"/>
      <family val="2"/>
    </font>
    <font>
      <sz val="11"/>
      <name val="Arial"/>
      <family val="2"/>
    </font>
    <font>
      <b/>
      <i/>
      <sz val="10"/>
      <name val="Arial"/>
      <family val="2"/>
    </font>
    <font>
      <sz val="10"/>
      <color indexed="9"/>
      <name val="Arial"/>
      <family val="2"/>
      <charset val="238"/>
    </font>
    <font>
      <i/>
      <sz val="10"/>
      <name val="Arial"/>
      <family val="2"/>
      <charset val="238"/>
    </font>
    <font>
      <sz val="10.5"/>
      <name val="Arial"/>
      <family val="2"/>
    </font>
    <font>
      <b/>
      <sz val="12"/>
      <color indexed="9"/>
      <name val="Arial"/>
      <family val="2"/>
      <charset val="238"/>
    </font>
    <font>
      <b/>
      <sz val="10"/>
      <color indexed="9"/>
      <name val="Arial"/>
      <family val="2"/>
      <charset val="238"/>
    </font>
    <font>
      <b/>
      <sz val="12"/>
      <color indexed="9"/>
      <name val="Arial"/>
      <family val="2"/>
      <charset val="238"/>
    </font>
    <font>
      <b/>
      <sz val="7"/>
      <color indexed="9"/>
      <name val="Arial"/>
      <family val="2"/>
    </font>
    <font>
      <sz val="10"/>
      <color indexed="9"/>
      <name val="Arial"/>
      <family val="2"/>
      <charset val="238"/>
    </font>
    <font>
      <b/>
      <sz val="10"/>
      <color indexed="9"/>
      <name val="Arial"/>
      <family val="2"/>
      <charset val="238"/>
    </font>
    <font>
      <b/>
      <sz val="11"/>
      <color indexed="9"/>
      <name val="Arial"/>
      <family val="2"/>
    </font>
    <font>
      <b/>
      <sz val="10"/>
      <color indexed="10"/>
      <name val="Arial"/>
      <family val="2"/>
      <charset val="238"/>
    </font>
    <font>
      <sz val="8"/>
      <name val="Arial"/>
      <family val="2"/>
      <charset val="238"/>
    </font>
    <font>
      <b/>
      <sz val="9"/>
      <name val="Arial"/>
      <family val="2"/>
    </font>
    <font>
      <sz val="9"/>
      <name val="Arial"/>
      <family val="2"/>
    </font>
    <font>
      <sz val="10"/>
      <color indexed="55"/>
      <name val="Arial"/>
      <family val="2"/>
    </font>
    <font>
      <b/>
      <sz val="10"/>
      <color indexed="9"/>
      <name val="Arial"/>
      <family val="2"/>
      <charset val="238"/>
    </font>
    <font>
      <b/>
      <sz val="11"/>
      <color indexed="9"/>
      <name val="Arial"/>
      <family val="2"/>
    </font>
    <font>
      <sz val="11"/>
      <color indexed="9"/>
      <name val="Arial"/>
      <family val="2"/>
      <charset val="238"/>
    </font>
    <font>
      <b/>
      <sz val="10"/>
      <color indexed="50"/>
      <name val="Arial"/>
      <family val="2"/>
      <charset val="238"/>
    </font>
    <font>
      <sz val="10"/>
      <color indexed="50"/>
      <name val="Arial"/>
      <family val="2"/>
      <charset val="238"/>
    </font>
    <font>
      <sz val="10"/>
      <color indexed="10"/>
      <name val="Arial"/>
      <family val="2"/>
      <charset val="238"/>
    </font>
    <font>
      <sz val="11.5"/>
      <color indexed="9"/>
      <name val="Arial"/>
      <family val="2"/>
    </font>
    <font>
      <b/>
      <sz val="11.5"/>
      <color indexed="9"/>
      <name val="Arial"/>
      <family val="2"/>
    </font>
    <font>
      <sz val="10"/>
      <color indexed="22"/>
      <name val="Arial"/>
      <family val="2"/>
      <charset val="238"/>
    </font>
    <font>
      <b/>
      <sz val="10"/>
      <color indexed="44"/>
      <name val="Arial"/>
      <family val="2"/>
    </font>
    <font>
      <sz val="10"/>
      <color indexed="44"/>
      <name val="Arial"/>
      <family val="2"/>
    </font>
    <font>
      <sz val="11"/>
      <color indexed="9"/>
      <name val="Arial"/>
      <family val="2"/>
      <charset val="238"/>
    </font>
    <font>
      <b/>
      <u/>
      <sz val="12"/>
      <name val="Arial"/>
      <family val="2"/>
      <charset val="238"/>
    </font>
    <font>
      <u/>
      <sz val="12"/>
      <name val="Arial"/>
      <family val="2"/>
      <charset val="238"/>
    </font>
    <font>
      <b/>
      <i/>
      <u/>
      <sz val="10"/>
      <name val="Arial"/>
      <family val="2"/>
    </font>
    <font>
      <u/>
      <sz val="9"/>
      <name val="Arial"/>
      <family val="2"/>
    </font>
    <font>
      <i/>
      <sz val="11"/>
      <name val="Arial Narrow"/>
      <family val="2"/>
    </font>
    <font>
      <sz val="9"/>
      <name val="Arial"/>
      <family val="2"/>
    </font>
    <font>
      <sz val="10"/>
      <color indexed="50"/>
      <name val="Arial"/>
      <family val="2"/>
      <charset val="238"/>
    </font>
    <font>
      <u/>
      <sz val="10"/>
      <color indexed="12"/>
      <name val="Arial"/>
      <family val="2"/>
      <charset val="238"/>
    </font>
    <font>
      <b/>
      <sz val="10"/>
      <name val="Arial CE"/>
      <charset val="238"/>
    </font>
    <font>
      <b/>
      <sz val="11"/>
      <color rgb="FF0000FF"/>
      <name val="Arial Narrow"/>
      <family val="2"/>
    </font>
    <font>
      <sz val="10"/>
      <color rgb="FF99CCFF"/>
      <name val="Arial"/>
      <family val="2"/>
      <charset val="238"/>
    </font>
    <font>
      <sz val="10"/>
      <color rgb="FFFF0000"/>
      <name val="Arial"/>
      <family val="2"/>
      <charset val="238"/>
    </font>
    <font>
      <b/>
      <sz val="10"/>
      <color rgb="FFFF0000"/>
      <name val="Arial"/>
      <family val="2"/>
    </font>
    <font>
      <b/>
      <sz val="12"/>
      <color rgb="FFFFFFFF"/>
      <name val="Arial"/>
      <family val="2"/>
      <charset val="238"/>
    </font>
    <font>
      <sz val="10"/>
      <name val="Arial"/>
      <family val="2"/>
      <charset val="238"/>
    </font>
    <font>
      <sz val="9"/>
      <color rgb="FFFF0000"/>
      <name val="Arial"/>
      <family val="2"/>
      <charset val="238"/>
    </font>
    <font>
      <sz val="9"/>
      <color rgb="FFFF0000"/>
      <name val="Arial"/>
      <family val="2"/>
    </font>
    <font>
      <sz val="10"/>
      <color rgb="FFFF0000"/>
      <name val="Arial"/>
      <family val="2"/>
      <charset val="238"/>
    </font>
    <font>
      <strike/>
      <sz val="10"/>
      <color rgb="FFFF0000"/>
      <name val="Arial"/>
      <family val="2"/>
      <charset val="238"/>
    </font>
  </fonts>
  <fills count="31">
    <fill>
      <patternFill patternType="none"/>
    </fill>
    <fill>
      <patternFill patternType="gray125"/>
    </fill>
    <fill>
      <patternFill patternType="solid">
        <fgColor indexed="9"/>
        <bgColor indexed="64"/>
      </patternFill>
    </fill>
    <fill>
      <patternFill patternType="solid">
        <fgColor indexed="51"/>
        <bgColor indexed="64"/>
      </patternFill>
    </fill>
    <fill>
      <patternFill patternType="solid">
        <fgColor indexed="44"/>
        <bgColor indexed="64"/>
      </patternFill>
    </fill>
    <fill>
      <patternFill patternType="solid">
        <fgColor indexed="18"/>
        <bgColor indexed="64"/>
      </patternFill>
    </fill>
    <fill>
      <patternFill patternType="solid">
        <fgColor indexed="50"/>
        <bgColor indexed="64"/>
      </patternFill>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13"/>
        <bgColor indexed="64"/>
      </patternFill>
    </fill>
    <fill>
      <patternFill patternType="solid">
        <fgColor indexed="31"/>
        <bgColor indexed="64"/>
      </patternFill>
    </fill>
    <fill>
      <patternFill patternType="solid">
        <fgColor indexed="47"/>
        <bgColor indexed="64"/>
      </patternFill>
    </fill>
    <fill>
      <patternFill patternType="solid">
        <fgColor indexed="45"/>
        <bgColor indexed="64"/>
      </patternFill>
    </fill>
    <fill>
      <patternFill patternType="solid">
        <fgColor indexed="24"/>
        <bgColor indexed="64"/>
      </patternFill>
    </fill>
    <fill>
      <patternFill patternType="solid">
        <fgColor theme="0"/>
        <bgColor indexed="64"/>
      </patternFill>
    </fill>
    <fill>
      <patternFill patternType="solid">
        <fgColor rgb="FFFFFFFF"/>
        <bgColor rgb="FF000000"/>
      </patternFill>
    </fill>
    <fill>
      <patternFill patternType="solid">
        <fgColor rgb="FF99CC00"/>
        <bgColor rgb="FF000000"/>
      </patternFill>
    </fill>
    <fill>
      <patternFill patternType="solid">
        <fgColor rgb="FFFFFF00"/>
        <bgColor indexed="64"/>
      </patternFill>
    </fill>
    <fill>
      <patternFill patternType="solid">
        <fgColor rgb="FFFFC000"/>
        <bgColor indexed="64"/>
      </patternFill>
    </fill>
    <fill>
      <patternFill patternType="solid">
        <fgColor rgb="FFFFFFFF"/>
        <bgColor indexed="64"/>
      </patternFill>
    </fill>
    <fill>
      <patternFill patternType="solid">
        <fgColor rgb="FFFFFFFF"/>
        <bgColor indexed="26"/>
      </patternFill>
    </fill>
    <fill>
      <patternFill patternType="solid">
        <fgColor rgb="FFFFFFFF"/>
        <bgColor indexed="31"/>
      </patternFill>
    </fill>
    <fill>
      <patternFill patternType="solid">
        <fgColor theme="0"/>
        <bgColor rgb="FF000000"/>
      </patternFill>
    </fill>
    <fill>
      <patternFill patternType="solid">
        <fgColor rgb="FF99CCFF"/>
        <bgColor rgb="FF000000"/>
      </patternFill>
    </fill>
    <fill>
      <patternFill patternType="solid">
        <fgColor rgb="FFFF0000"/>
        <bgColor indexed="64"/>
      </patternFill>
    </fill>
    <fill>
      <patternFill patternType="solid">
        <fgColor rgb="FF92D050"/>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rgb="FF000080"/>
        <bgColor rgb="FF000000"/>
      </patternFill>
    </fill>
    <fill>
      <patternFill patternType="solid">
        <fgColor rgb="FF00B050"/>
        <bgColor indexed="64"/>
      </patternFill>
    </fill>
  </fills>
  <borders count="53">
    <border>
      <left/>
      <right/>
      <top/>
      <bottom/>
      <diagonal/>
    </border>
    <border>
      <left style="thin">
        <color auto="1"/>
      </left>
      <right style="thin">
        <color auto="1"/>
      </right>
      <top style="thin">
        <color auto="1"/>
      </top>
      <bottom style="thin">
        <color auto="1"/>
      </bottom>
      <diagonal/>
    </border>
    <border>
      <left style="dotted">
        <color indexed="55"/>
      </left>
      <right style="dotted">
        <color indexed="55"/>
      </right>
      <top style="dotted">
        <color indexed="55"/>
      </top>
      <bottom style="dotted">
        <color indexed="55"/>
      </bottom>
      <diagonal/>
    </border>
    <border>
      <left/>
      <right style="dotted">
        <color indexed="55"/>
      </right>
      <top/>
      <bottom/>
      <diagonal/>
    </border>
    <border>
      <left/>
      <right/>
      <top style="dotted">
        <color indexed="55"/>
      </top>
      <bottom/>
      <diagonal/>
    </border>
    <border>
      <left/>
      <right/>
      <top/>
      <bottom style="dotted">
        <color indexed="55"/>
      </bottom>
      <diagonal/>
    </border>
    <border>
      <left/>
      <right/>
      <top style="dotted">
        <color indexed="55"/>
      </top>
      <bottom style="dotted">
        <color indexed="55"/>
      </bottom>
      <diagonal/>
    </border>
    <border>
      <left/>
      <right style="dotted">
        <color indexed="55"/>
      </right>
      <top/>
      <bottom style="dotted">
        <color indexed="55"/>
      </bottom>
      <diagonal/>
    </border>
    <border>
      <left/>
      <right style="dotted">
        <color indexed="55"/>
      </right>
      <top style="dotted">
        <color indexed="55"/>
      </top>
      <bottom style="dotted">
        <color indexed="55"/>
      </bottom>
      <diagonal/>
    </border>
    <border>
      <left style="dotted">
        <color indexed="55"/>
      </left>
      <right/>
      <top/>
      <bottom/>
      <diagonal/>
    </border>
    <border>
      <left style="dotted">
        <color indexed="55"/>
      </left>
      <right style="dotted">
        <color indexed="55"/>
      </right>
      <top/>
      <bottom/>
      <diagonal/>
    </border>
    <border>
      <left/>
      <right style="dotted">
        <color indexed="55"/>
      </right>
      <top style="dotted">
        <color indexed="55"/>
      </top>
      <bottom/>
      <diagonal/>
    </border>
    <border>
      <left style="dotted">
        <color indexed="55"/>
      </left>
      <right style="dotted">
        <color indexed="55"/>
      </right>
      <top/>
      <bottom style="dotted">
        <color indexed="55"/>
      </bottom>
      <diagonal/>
    </border>
    <border>
      <left style="dotted">
        <color indexed="55"/>
      </left>
      <right/>
      <top style="dotted">
        <color indexed="55"/>
      </top>
      <bottom/>
      <diagonal/>
    </border>
    <border>
      <left style="dotted">
        <color indexed="55"/>
      </left>
      <right style="dotted">
        <color indexed="55"/>
      </right>
      <top style="dotted">
        <color indexed="55"/>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indexed="8"/>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tted">
        <color indexed="55"/>
      </left>
      <right/>
      <top style="dotted">
        <color indexed="55"/>
      </top>
      <bottom style="dotted">
        <color indexed="55"/>
      </bottom>
      <diagonal/>
    </border>
    <border>
      <left style="medium">
        <color auto="1"/>
      </left>
      <right/>
      <top/>
      <bottom/>
      <diagonal/>
    </border>
    <border>
      <left/>
      <right style="medium">
        <color auto="1"/>
      </right>
      <top style="medium">
        <color auto="1"/>
      </top>
      <bottom style="medium">
        <color auto="1"/>
      </bottom>
      <diagonal/>
    </border>
    <border>
      <left style="hair">
        <color indexed="55"/>
      </left>
      <right style="hair">
        <color indexed="55"/>
      </right>
      <top style="hair">
        <color indexed="55"/>
      </top>
      <bottom style="hair">
        <color indexed="55"/>
      </bottom>
      <diagonal/>
    </border>
    <border>
      <left style="hair">
        <color indexed="55"/>
      </left>
      <right/>
      <top style="hair">
        <color indexed="55"/>
      </top>
      <bottom style="hair">
        <color indexed="55"/>
      </bottom>
      <diagonal/>
    </border>
    <border>
      <left style="dotted">
        <color indexed="22"/>
      </left>
      <right/>
      <top/>
      <bottom/>
      <diagonal/>
    </border>
    <border>
      <left style="thin">
        <color auto="1"/>
      </left>
      <right/>
      <top/>
      <bottom/>
      <diagonal/>
    </border>
    <border>
      <left/>
      <right style="medium">
        <color auto="1"/>
      </right>
      <top/>
      <bottom/>
      <diagonal/>
    </border>
    <border>
      <left style="dotted">
        <color indexed="22"/>
      </left>
      <right/>
      <top style="dotted">
        <color indexed="22"/>
      </top>
      <bottom style="dotted">
        <color indexed="22"/>
      </bottom>
      <diagonal/>
    </border>
    <border>
      <left/>
      <right/>
      <top style="dotted">
        <color indexed="22"/>
      </top>
      <bottom style="dotted">
        <color indexed="22"/>
      </bottom>
      <diagonal/>
    </border>
    <border>
      <left/>
      <right style="dotted">
        <color indexed="22"/>
      </right>
      <top style="dotted">
        <color indexed="22"/>
      </top>
      <bottom style="dotted">
        <color indexed="22"/>
      </bottom>
      <diagonal/>
    </border>
    <border>
      <left style="dotted">
        <color indexed="55"/>
      </left>
      <right/>
      <top/>
      <bottom style="dotted">
        <color indexed="55"/>
      </bottom>
      <diagonal/>
    </border>
    <border>
      <left style="medium">
        <color auto="1"/>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tted">
        <color theme="0" tint="-0.34998626667073579"/>
      </bottom>
      <diagonal/>
    </border>
    <border>
      <left style="dotted">
        <color theme="0" tint="-0.34998626667073579"/>
      </left>
      <right/>
      <top style="dotted">
        <color theme="0" tint="-0.34998626667073579"/>
      </top>
      <bottom style="dotted">
        <color theme="0" tint="-0.34998626667073579"/>
      </bottom>
      <diagonal/>
    </border>
    <border>
      <left/>
      <right style="dotted">
        <color theme="0" tint="-0.34998626667073579"/>
      </right>
      <top style="dotted">
        <color theme="0" tint="-0.34998626667073579"/>
      </top>
      <bottom style="dotted">
        <color theme="0" tint="-0.34998626667073579"/>
      </bottom>
      <diagonal/>
    </border>
    <border>
      <left style="dotted">
        <color theme="0" tint="-0.34998626667073579"/>
      </left>
      <right style="dotted">
        <color theme="0" tint="-0.34998626667073579"/>
      </right>
      <top style="dotted">
        <color theme="0" tint="-0.34998626667073579"/>
      </top>
      <bottom style="dotted">
        <color theme="0" tint="-0.34998626667073579"/>
      </bottom>
      <diagonal/>
    </border>
    <border>
      <left style="dotted">
        <color rgb="FF969696"/>
      </left>
      <right style="dotted">
        <color rgb="FF969696"/>
      </right>
      <top/>
      <bottom style="dotted">
        <color rgb="FF969696"/>
      </bottom>
      <diagonal/>
    </border>
    <border>
      <left/>
      <right/>
      <top/>
      <bottom style="dotted">
        <color rgb="FF969696"/>
      </bottom>
      <diagonal/>
    </border>
    <border>
      <left style="dotted">
        <color rgb="FF969696"/>
      </left>
      <right style="dotted">
        <color rgb="FF969696"/>
      </right>
      <top style="dotted">
        <color rgb="FF969696"/>
      </top>
      <bottom style="dotted">
        <color rgb="FF969696"/>
      </bottom>
      <diagonal/>
    </border>
    <border>
      <left style="dotted">
        <color rgb="FF969696"/>
      </left>
      <right style="dotted">
        <color rgb="FF969696"/>
      </right>
      <top style="dotted">
        <color rgb="FF969696"/>
      </top>
      <bottom/>
      <diagonal/>
    </border>
    <border>
      <left/>
      <right/>
      <top style="dotted">
        <color theme="0" tint="-0.34998626667073579"/>
      </top>
      <bottom style="dotted">
        <color theme="0" tint="-0.34998626667073579"/>
      </bottom>
      <diagonal/>
    </border>
    <border>
      <left/>
      <right/>
      <top style="dotted">
        <color rgb="FF969696"/>
      </top>
      <bottom/>
      <diagonal/>
    </border>
  </borders>
  <cellStyleXfs count="4">
    <xf numFmtId="0" fontId="0" fillId="0" borderId="0"/>
    <xf numFmtId="0" fontId="1"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4" fillId="0" borderId="0"/>
  </cellStyleXfs>
  <cellXfs count="903">
    <xf numFmtId="0" fontId="0" fillId="0" borderId="0" xfId="0"/>
    <xf numFmtId="0" fontId="0" fillId="0" borderId="1" xfId="0" applyBorder="1"/>
    <xf numFmtId="0" fontId="4" fillId="2" borderId="0" xfId="0" applyFont="1" applyFill="1" applyBorder="1" applyProtection="1">
      <protection hidden="1"/>
    </xf>
    <xf numFmtId="0" fontId="4" fillId="2" borderId="0" xfId="0" applyFont="1" applyFill="1" applyProtection="1">
      <protection hidden="1"/>
    </xf>
    <xf numFmtId="0" fontId="4" fillId="2" borderId="0" xfId="0" applyFont="1" applyFill="1" applyBorder="1" applyAlignment="1" applyProtection="1">
      <alignment horizontal="left" vertical="center"/>
      <protection hidden="1"/>
    </xf>
    <xf numFmtId="0" fontId="4" fillId="2" borderId="0" xfId="0" applyFont="1" applyFill="1" applyAlignment="1" applyProtection="1">
      <alignment horizontal="left"/>
      <protection hidden="1"/>
    </xf>
    <xf numFmtId="0" fontId="7" fillId="2" borderId="0" xfId="0" applyFont="1" applyFill="1" applyAlignment="1" applyProtection="1">
      <alignment horizontal="left"/>
      <protection hidden="1"/>
    </xf>
    <xf numFmtId="0" fontId="4" fillId="2" borderId="0" xfId="0" applyFont="1" applyFill="1" applyAlignment="1" applyProtection="1">
      <alignment horizontal="center"/>
      <protection hidden="1"/>
    </xf>
    <xf numFmtId="0" fontId="9" fillId="2" borderId="0" xfId="0" applyFont="1" applyFill="1" applyAlignment="1" applyProtection="1">
      <alignment horizontal="left"/>
      <protection hidden="1"/>
    </xf>
    <xf numFmtId="0" fontId="5" fillId="2" borderId="0" xfId="0" applyFont="1" applyFill="1" applyAlignment="1" applyProtection="1">
      <alignment horizontal="left"/>
      <protection hidden="1"/>
    </xf>
    <xf numFmtId="0" fontId="4" fillId="2" borderId="0" xfId="0" applyFont="1" applyFill="1" applyBorder="1" applyAlignment="1" applyProtection="1">
      <protection hidden="1"/>
    </xf>
    <xf numFmtId="0" fontId="4" fillId="2" borderId="0" xfId="0" applyFont="1" applyFill="1" applyAlignment="1" applyProtection="1">
      <alignment horizontal="right"/>
      <protection hidden="1"/>
    </xf>
    <xf numFmtId="0" fontId="4" fillId="2" borderId="0" xfId="0" applyFont="1" applyFill="1" applyBorder="1" applyAlignment="1" applyProtection="1">
      <alignment vertical="center" wrapText="1"/>
      <protection hidden="1"/>
    </xf>
    <xf numFmtId="0" fontId="5" fillId="2" borderId="0" xfId="0" applyFont="1" applyFill="1" applyProtection="1">
      <protection hidden="1"/>
    </xf>
    <xf numFmtId="0" fontId="9" fillId="2" borderId="0" xfId="0" applyFont="1" applyFill="1" applyProtection="1">
      <protection hidden="1"/>
    </xf>
    <xf numFmtId="0" fontId="6" fillId="2" borderId="0" xfId="0" applyFont="1" applyFill="1" applyBorder="1" applyAlignment="1" applyProtection="1">
      <alignment vertical="center" wrapText="1"/>
      <protection hidden="1"/>
    </xf>
    <xf numFmtId="0" fontId="4" fillId="2" borderId="0" xfId="0" applyFont="1" applyFill="1" applyBorder="1" applyAlignment="1" applyProtection="1">
      <alignment wrapText="1"/>
      <protection hidden="1"/>
    </xf>
    <xf numFmtId="0" fontId="4" fillId="2" borderId="0" xfId="0" applyFont="1" applyFill="1" applyBorder="1" applyAlignment="1" applyProtection="1">
      <alignment horizontal="center" vertical="center" wrapText="1"/>
      <protection hidden="1"/>
    </xf>
    <xf numFmtId="0" fontId="0" fillId="2" borderId="0" xfId="0" applyFill="1" applyAlignment="1" applyProtection="1">
      <alignment vertical="center" wrapText="1"/>
      <protection hidden="1"/>
    </xf>
    <xf numFmtId="0" fontId="5" fillId="2" borderId="0" xfId="0" applyFont="1" applyFill="1" applyAlignment="1" applyProtection="1">
      <alignment horizontal="left" indent="2"/>
      <protection hidden="1"/>
    </xf>
    <xf numFmtId="0" fontId="4" fillId="2" borderId="0" xfId="0" applyFont="1" applyFill="1" applyAlignment="1" applyProtection="1">
      <alignment horizontal="justify"/>
      <protection hidden="1"/>
    </xf>
    <xf numFmtId="0" fontId="15" fillId="2" borderId="0" xfId="0" applyFont="1" applyFill="1" applyBorder="1" applyAlignment="1" applyProtection="1">
      <alignment vertical="center"/>
      <protection hidden="1"/>
    </xf>
    <xf numFmtId="0" fontId="0" fillId="2" borderId="0" xfId="0" applyFill="1" applyBorder="1" applyAlignment="1" applyProtection="1">
      <alignment vertical="center"/>
      <protection hidden="1"/>
    </xf>
    <xf numFmtId="0" fontId="4" fillId="2" borderId="2" xfId="0" applyFont="1" applyFill="1" applyBorder="1" applyAlignment="1" applyProtection="1">
      <alignment vertical="center" wrapText="1"/>
      <protection locked="0"/>
    </xf>
    <xf numFmtId="0" fontId="4" fillId="2" borderId="2" xfId="0" applyFont="1" applyFill="1" applyBorder="1" applyAlignment="1" applyProtection="1">
      <alignment vertical="center"/>
      <protection locked="0"/>
    </xf>
    <xf numFmtId="0" fontId="4" fillId="2" borderId="0" xfId="0" applyFont="1" applyFill="1" applyBorder="1" applyAlignment="1" applyProtection="1">
      <alignment vertical="center"/>
      <protection hidden="1"/>
    </xf>
    <xf numFmtId="0" fontId="0" fillId="2" borderId="0" xfId="0" applyFill="1" applyBorder="1" applyAlignment="1" applyProtection="1">
      <alignment vertical="center" wrapText="1"/>
      <protection hidden="1"/>
    </xf>
    <xf numFmtId="0" fontId="13" fillId="2" borderId="0" xfId="0" applyFont="1" applyFill="1" applyProtection="1">
      <protection hidden="1"/>
    </xf>
    <xf numFmtId="0" fontId="6" fillId="2" borderId="3" xfId="0" applyFont="1" applyFill="1" applyBorder="1" applyAlignment="1" applyProtection="1">
      <alignment vertical="center" wrapText="1"/>
      <protection hidden="1"/>
    </xf>
    <xf numFmtId="0" fontId="4" fillId="2" borderId="4" xfId="0" applyFont="1" applyFill="1" applyBorder="1" applyAlignment="1" applyProtection="1">
      <alignment vertical="center" wrapText="1"/>
      <protection hidden="1"/>
    </xf>
    <xf numFmtId="0" fontId="12" fillId="0" borderId="0" xfId="0" applyFont="1"/>
    <xf numFmtId="0" fontId="4" fillId="2" borderId="0" xfId="0" applyFont="1" applyFill="1" applyBorder="1" applyAlignment="1" applyProtection="1">
      <alignment vertical="center" wrapText="1"/>
      <protection locked="0"/>
    </xf>
    <xf numFmtId="0" fontId="4" fillId="2" borderId="0" xfId="0" applyFont="1" applyFill="1" applyBorder="1" applyAlignment="1" applyProtection="1">
      <alignment vertical="center"/>
      <protection locked="0"/>
    </xf>
    <xf numFmtId="0" fontId="0" fillId="2" borderId="0" xfId="0" applyFill="1" applyBorder="1" applyAlignment="1">
      <alignment vertical="center" wrapText="1"/>
    </xf>
    <xf numFmtId="49" fontId="0" fillId="2" borderId="0" xfId="0" applyNumberFormat="1" applyFont="1" applyFill="1" applyBorder="1" applyAlignment="1" applyProtection="1">
      <alignment vertical="center"/>
      <protection locked="0"/>
    </xf>
    <xf numFmtId="49" fontId="12" fillId="2" borderId="0" xfId="1" applyNumberFormat="1" applyFont="1" applyFill="1" applyBorder="1" applyAlignment="1" applyProtection="1">
      <alignment vertical="center" wrapText="1"/>
      <protection locked="0"/>
    </xf>
    <xf numFmtId="0" fontId="0" fillId="0" borderId="0" xfId="0" applyAlignment="1"/>
    <xf numFmtId="0" fontId="4" fillId="2" borderId="0" xfId="0" applyFont="1" applyFill="1" applyBorder="1" applyAlignment="1" applyProtection="1">
      <alignment horizontal="center" vertical="center" wrapText="1"/>
      <protection locked="0"/>
    </xf>
    <xf numFmtId="0" fontId="4" fillId="2" borderId="0" xfId="0" applyNumberFormat="1" applyFont="1" applyFill="1" applyAlignment="1" applyProtection="1">
      <alignment horizontal="center"/>
      <protection hidden="1"/>
    </xf>
    <xf numFmtId="0" fontId="4" fillId="2" borderId="2" xfId="0" applyFont="1" applyFill="1" applyBorder="1" applyAlignment="1" applyProtection="1">
      <alignment horizontal="center" vertical="center" wrapText="1"/>
      <protection locked="0"/>
    </xf>
    <xf numFmtId="0" fontId="20" fillId="2" borderId="0" xfId="0" applyFont="1" applyFill="1" applyAlignment="1" applyProtection="1">
      <alignment horizontal="center"/>
      <protection hidden="1"/>
    </xf>
    <xf numFmtId="0" fontId="12" fillId="0" borderId="2" xfId="0" applyFont="1" applyFill="1" applyBorder="1" applyAlignment="1" applyProtection="1">
      <alignment wrapText="1"/>
      <protection hidden="1"/>
    </xf>
    <xf numFmtId="0" fontId="20" fillId="2" borderId="2" xfId="0" applyFont="1" applyFill="1" applyBorder="1" applyAlignment="1" applyProtection="1">
      <alignment vertical="center" wrapText="1"/>
      <protection hidden="1"/>
    </xf>
    <xf numFmtId="0" fontId="20" fillId="2" borderId="0" xfId="0" applyFont="1" applyFill="1" applyBorder="1" applyAlignment="1" applyProtection="1">
      <alignment wrapText="1"/>
      <protection hidden="1"/>
    </xf>
    <xf numFmtId="0" fontId="12" fillId="2" borderId="0" xfId="0" applyFont="1" applyFill="1" applyBorder="1" applyAlignment="1" applyProtection="1">
      <alignment wrapText="1"/>
      <protection hidden="1"/>
    </xf>
    <xf numFmtId="0" fontId="12" fillId="2" borderId="5" xfId="0" applyFont="1" applyFill="1" applyBorder="1" applyAlignment="1" applyProtection="1">
      <alignment horizontal="center"/>
      <protection hidden="1"/>
    </xf>
    <xf numFmtId="0" fontId="12" fillId="2" borderId="6" xfId="0" applyFont="1" applyFill="1" applyBorder="1" applyAlignment="1" applyProtection="1">
      <alignment horizontal="center"/>
      <protection hidden="1"/>
    </xf>
    <xf numFmtId="0" fontId="12" fillId="2" borderId="0" xfId="0" applyFont="1" applyFill="1" applyBorder="1" applyAlignment="1" applyProtection="1">
      <alignment horizontal="center"/>
      <protection hidden="1"/>
    </xf>
    <xf numFmtId="0" fontId="12" fillId="2" borderId="7" xfId="0" applyFont="1" applyFill="1" applyBorder="1" applyAlignment="1" applyProtection="1">
      <alignment horizontal="center"/>
      <protection hidden="1"/>
    </xf>
    <xf numFmtId="0" fontId="20" fillId="2" borderId="8" xfId="0" applyFont="1" applyFill="1" applyBorder="1" applyAlignment="1" applyProtection="1">
      <alignment horizontal="center" vertical="center"/>
      <protection hidden="1"/>
    </xf>
    <xf numFmtId="0" fontId="4" fillId="2" borderId="0" xfId="0" applyFont="1" applyFill="1" applyAlignment="1" applyProtection="1">
      <protection hidden="1"/>
    </xf>
    <xf numFmtId="0" fontId="5" fillId="2" borderId="0" xfId="0" applyFont="1" applyFill="1" applyAlignment="1" applyProtection="1">
      <alignment horizontal="justify"/>
      <protection hidden="1"/>
    </xf>
    <xf numFmtId="0" fontId="10" fillId="2" borderId="0" xfId="0" applyFont="1" applyFill="1" applyProtection="1">
      <protection hidden="1"/>
    </xf>
    <xf numFmtId="0" fontId="29" fillId="2" borderId="0" xfId="0" applyFont="1" applyFill="1" applyProtection="1">
      <protection hidden="1"/>
    </xf>
    <xf numFmtId="0" fontId="4" fillId="2" borderId="0" xfId="0" applyFont="1" applyFill="1" applyBorder="1" applyAlignment="1" applyProtection="1">
      <alignment horizontal="left" vertical="top" wrapText="1"/>
      <protection hidden="1"/>
    </xf>
    <xf numFmtId="0" fontId="11" fillId="2" borderId="0" xfId="0" applyFont="1" applyFill="1" applyProtection="1">
      <protection hidden="1"/>
    </xf>
    <xf numFmtId="0" fontId="11" fillId="2" borderId="0" xfId="0" applyFont="1" applyFill="1" applyBorder="1" applyProtection="1">
      <protection hidden="1"/>
    </xf>
    <xf numFmtId="0" fontId="5" fillId="2" borderId="0" xfId="0" applyFont="1" applyFill="1" applyAlignment="1" applyProtection="1">
      <protection hidden="1"/>
    </xf>
    <xf numFmtId="0" fontId="4" fillId="2" borderId="9" xfId="0" applyFont="1" applyFill="1" applyBorder="1" applyProtection="1">
      <protection hidden="1"/>
    </xf>
    <xf numFmtId="0" fontId="5" fillId="2" borderId="0" xfId="0" applyFont="1" applyFill="1" applyBorder="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0" fillId="2" borderId="0" xfId="0" applyFill="1" applyBorder="1" applyAlignment="1" applyProtection="1">
      <alignment horizontal="center" vertical="center" wrapText="1"/>
      <protection hidden="1"/>
    </xf>
    <xf numFmtId="0" fontId="0" fillId="2" borderId="0" xfId="0" applyFill="1" applyBorder="1" applyAlignment="1" applyProtection="1">
      <protection hidden="1"/>
    </xf>
    <xf numFmtId="0" fontId="10" fillId="2" borderId="0" xfId="0" applyFont="1" applyFill="1" applyBorder="1" applyAlignment="1" applyProtection="1">
      <alignment horizontal="center" vertical="center" wrapText="1"/>
      <protection hidden="1"/>
    </xf>
    <xf numFmtId="4" fontId="4" fillId="2" borderId="10" xfId="0" applyNumberFormat="1" applyFont="1" applyFill="1" applyBorder="1" applyAlignment="1" applyProtection="1">
      <alignment horizontal="center" wrapText="1"/>
      <protection hidden="1"/>
    </xf>
    <xf numFmtId="0" fontId="4" fillId="3" borderId="2" xfId="0" applyFont="1" applyFill="1" applyBorder="1" applyAlignment="1" applyProtection="1">
      <alignment horizontal="center" vertical="center" wrapText="1"/>
      <protection locked="0"/>
    </xf>
    <xf numFmtId="0" fontId="4" fillId="3" borderId="2" xfId="0" applyFont="1" applyFill="1" applyBorder="1" applyAlignment="1" applyProtection="1">
      <alignment vertical="center"/>
      <protection locked="0"/>
    </xf>
    <xf numFmtId="0" fontId="20" fillId="4" borderId="11" xfId="0" applyFont="1" applyFill="1" applyBorder="1" applyAlignment="1" applyProtection="1">
      <alignment horizontal="center"/>
      <protection hidden="1"/>
    </xf>
    <xf numFmtId="0" fontId="20" fillId="4" borderId="2" xfId="0" applyFont="1" applyFill="1" applyBorder="1" applyAlignment="1" applyProtection="1">
      <alignment wrapText="1"/>
      <protection hidden="1"/>
    </xf>
    <xf numFmtId="0" fontId="20" fillId="4" borderId="0" xfId="0" applyFont="1" applyFill="1" applyBorder="1" applyAlignment="1" applyProtection="1">
      <alignment horizontal="center"/>
      <protection hidden="1"/>
    </xf>
    <xf numFmtId="0" fontId="27" fillId="2" borderId="0" xfId="0" applyFont="1" applyFill="1" applyBorder="1" applyAlignment="1" applyProtection="1">
      <alignment wrapText="1"/>
      <protection hidden="1"/>
    </xf>
    <xf numFmtId="0" fontId="20" fillId="4" borderId="2" xfId="0" applyFont="1" applyFill="1" applyBorder="1" applyAlignment="1" applyProtection="1">
      <alignment vertical="center" wrapText="1"/>
      <protection hidden="1"/>
    </xf>
    <xf numFmtId="0" fontId="32" fillId="5" borderId="0" xfId="0" applyFont="1" applyFill="1" applyAlignment="1" applyProtection="1">
      <protection hidden="1"/>
    </xf>
    <xf numFmtId="0" fontId="4" fillId="3" borderId="2" xfId="0" applyFont="1" applyFill="1" applyBorder="1" applyAlignment="1" applyProtection="1">
      <alignment vertical="center" wrapText="1"/>
      <protection locked="0"/>
    </xf>
    <xf numFmtId="0" fontId="32" fillId="5" borderId="0" xfId="0" applyFont="1" applyFill="1" applyAlignment="1" applyProtection="1">
      <alignment horizontal="left" indent="2"/>
      <protection hidden="1"/>
    </xf>
    <xf numFmtId="0" fontId="34" fillId="5" borderId="0" xfId="0" applyFont="1" applyFill="1" applyProtection="1">
      <protection hidden="1"/>
    </xf>
    <xf numFmtId="0" fontId="27" fillId="2" borderId="0" xfId="0" applyFont="1" applyFill="1" applyProtection="1">
      <protection hidden="1"/>
    </xf>
    <xf numFmtId="0" fontId="20" fillId="2" borderId="12" xfId="0" applyFont="1" applyFill="1" applyBorder="1" applyAlignment="1" applyProtection="1">
      <alignment horizontal="center" vertical="center" wrapText="1"/>
      <protection hidden="1"/>
    </xf>
    <xf numFmtId="0" fontId="12" fillId="2" borderId="0" xfId="0" applyFont="1" applyFill="1" applyBorder="1" applyAlignment="1" applyProtection="1">
      <alignment vertical="center" wrapText="1"/>
      <protection hidden="1"/>
    </xf>
    <xf numFmtId="0" fontId="12" fillId="2" borderId="0" xfId="0" applyFont="1" applyFill="1" applyProtection="1">
      <protection hidden="1"/>
    </xf>
    <xf numFmtId="0" fontId="12" fillId="2" borderId="0" xfId="0" applyFont="1" applyFill="1" applyBorder="1" applyProtection="1">
      <protection hidden="1"/>
    </xf>
    <xf numFmtId="4" fontId="12" fillId="2" borderId="0" xfId="0" applyNumberFormat="1" applyFont="1" applyFill="1" applyBorder="1" applyAlignment="1" applyProtection="1">
      <alignment wrapText="1"/>
      <protection hidden="1"/>
    </xf>
    <xf numFmtId="0" fontId="0" fillId="2" borderId="0" xfId="0" applyFill="1" applyBorder="1" applyAlignment="1" applyProtection="1">
      <alignment wrapText="1"/>
      <protection hidden="1"/>
    </xf>
    <xf numFmtId="0" fontId="12" fillId="0" borderId="2" xfId="0" applyFont="1" applyFill="1" applyBorder="1" applyAlignment="1" applyProtection="1">
      <alignment horizontal="left" vertical="center" wrapText="1"/>
      <protection hidden="1"/>
    </xf>
    <xf numFmtId="49" fontId="12" fillId="3" borderId="2" xfId="0" applyNumberFormat="1" applyFont="1" applyFill="1" applyBorder="1" applyAlignment="1" applyProtection="1">
      <alignment horizontal="center" vertical="center" wrapText="1"/>
      <protection locked="0"/>
    </xf>
    <xf numFmtId="0" fontId="12" fillId="2" borderId="0" xfId="0" applyFont="1" applyFill="1" applyAlignment="1" applyProtection="1">
      <alignment wrapText="1"/>
      <protection hidden="1"/>
    </xf>
    <xf numFmtId="0" fontId="20" fillId="6" borderId="12" xfId="0" applyFont="1" applyFill="1" applyBorder="1" applyAlignment="1" applyProtection="1">
      <alignment horizontal="center" vertical="center" wrapText="1"/>
      <protection hidden="1"/>
    </xf>
    <xf numFmtId="0" fontId="27" fillId="2" borderId="0" xfId="0" applyFont="1" applyFill="1" applyBorder="1" applyProtection="1">
      <protection hidden="1"/>
    </xf>
    <xf numFmtId="0" fontId="27" fillId="2" borderId="0" xfId="0" applyFont="1" applyFill="1" applyBorder="1" applyAlignment="1" applyProtection="1">
      <alignment horizontal="left" vertical="center" wrapText="1"/>
      <protection hidden="1"/>
    </xf>
    <xf numFmtId="0" fontId="27" fillId="2" borderId="0" xfId="0" applyFont="1" applyFill="1" applyAlignment="1" applyProtection="1">
      <alignment wrapText="1"/>
      <protection hidden="1"/>
    </xf>
    <xf numFmtId="4" fontId="20" fillId="4" borderId="2" xfId="0" applyNumberFormat="1" applyFont="1" applyFill="1" applyBorder="1" applyAlignment="1" applyProtection="1">
      <alignment wrapText="1"/>
      <protection hidden="1"/>
    </xf>
    <xf numFmtId="10" fontId="20" fillId="4" borderId="2" xfId="0" applyNumberFormat="1" applyFont="1" applyFill="1" applyBorder="1" applyAlignment="1" applyProtection="1">
      <alignment wrapText="1"/>
      <protection hidden="1"/>
    </xf>
    <xf numFmtId="0" fontId="12" fillId="2" borderId="2" xfId="0" applyFont="1" applyFill="1" applyBorder="1" applyAlignment="1" applyProtection="1">
      <alignment horizontal="left" vertical="center" wrapText="1"/>
      <protection hidden="1"/>
    </xf>
    <xf numFmtId="0" fontId="12" fillId="2" borderId="7" xfId="0" applyFont="1" applyFill="1" applyBorder="1" applyProtection="1">
      <protection hidden="1"/>
    </xf>
    <xf numFmtId="10" fontId="12" fillId="2" borderId="0" xfId="0" applyNumberFormat="1" applyFont="1" applyFill="1" applyAlignment="1" applyProtection="1">
      <alignment wrapText="1"/>
      <protection hidden="1"/>
    </xf>
    <xf numFmtId="9" fontId="12" fillId="2" borderId="0" xfId="0" applyNumberFormat="1" applyFont="1" applyFill="1" applyProtection="1">
      <protection hidden="1"/>
    </xf>
    <xf numFmtId="16" fontId="12" fillId="2" borderId="2" xfId="0" applyNumberFormat="1" applyFont="1" applyFill="1" applyBorder="1" applyAlignment="1" applyProtection="1">
      <alignment horizontal="left" vertical="center" wrapText="1"/>
      <protection hidden="1"/>
    </xf>
    <xf numFmtId="0" fontId="12" fillId="4" borderId="2" xfId="0" applyFont="1" applyFill="1" applyBorder="1" applyAlignment="1" applyProtection="1">
      <alignment horizontal="left" vertical="center" wrapText="1"/>
      <protection hidden="1"/>
    </xf>
    <xf numFmtId="4" fontId="12" fillId="4" borderId="2" xfId="0" applyNumberFormat="1" applyFont="1" applyFill="1" applyBorder="1" applyAlignment="1" applyProtection="1">
      <alignment wrapText="1"/>
      <protection hidden="1"/>
    </xf>
    <xf numFmtId="4" fontId="12" fillId="2" borderId="2" xfId="0" applyNumberFormat="1" applyFont="1" applyFill="1" applyBorder="1" applyAlignment="1" applyProtection="1">
      <alignment wrapText="1"/>
      <protection locked="0"/>
    </xf>
    <xf numFmtId="0" fontId="21" fillId="2" borderId="0" xfId="0" applyFont="1" applyFill="1" applyBorder="1" applyAlignment="1" applyProtection="1">
      <alignment horizontal="left" vertical="center"/>
      <protection hidden="1"/>
    </xf>
    <xf numFmtId="0" fontId="20" fillId="2" borderId="0" xfId="0" applyFont="1" applyFill="1" applyBorder="1" applyAlignment="1" applyProtection="1">
      <alignment horizontal="center" wrapText="1"/>
      <protection hidden="1"/>
    </xf>
    <xf numFmtId="0" fontId="20" fillId="2" borderId="7" xfId="0" applyFont="1" applyFill="1" applyBorder="1" applyAlignment="1" applyProtection="1">
      <alignment horizontal="center" vertical="center"/>
      <protection hidden="1"/>
    </xf>
    <xf numFmtId="0" fontId="20" fillId="2" borderId="5" xfId="0" applyFont="1" applyFill="1" applyBorder="1" applyAlignment="1" applyProtection="1">
      <alignment horizontal="center" vertical="center" wrapText="1"/>
      <protection hidden="1"/>
    </xf>
    <xf numFmtId="0" fontId="12" fillId="2" borderId="0" xfId="0" applyFont="1" applyFill="1" applyBorder="1" applyAlignment="1" applyProtection="1">
      <alignment horizontal="left" vertical="center" wrapText="1"/>
      <protection hidden="1"/>
    </xf>
    <xf numFmtId="16" fontId="12" fillId="2" borderId="0" xfId="0" applyNumberFormat="1" applyFont="1" applyFill="1" applyBorder="1" applyAlignment="1" applyProtection="1">
      <alignment horizontal="left" vertical="center" wrapText="1"/>
      <protection hidden="1"/>
    </xf>
    <xf numFmtId="16" fontId="12" fillId="2" borderId="5" xfId="0" applyNumberFormat="1" applyFont="1" applyFill="1" applyBorder="1" applyAlignment="1" applyProtection="1">
      <alignment horizontal="left" vertical="center" wrapText="1"/>
      <protection hidden="1"/>
    </xf>
    <xf numFmtId="0" fontId="12" fillId="0" borderId="0" xfId="0" applyFont="1" applyBorder="1" applyAlignment="1" applyProtection="1">
      <alignment wrapText="1"/>
      <protection hidden="1"/>
    </xf>
    <xf numFmtId="0" fontId="12" fillId="0" borderId="0" xfId="0" applyFont="1" applyFill="1" applyBorder="1" applyAlignment="1" applyProtection="1">
      <alignment wrapText="1"/>
      <protection hidden="1"/>
    </xf>
    <xf numFmtId="0" fontId="0" fillId="2" borderId="10" xfId="0" applyFill="1" applyBorder="1" applyAlignment="1" applyProtection="1">
      <alignment wrapText="1"/>
      <protection hidden="1"/>
    </xf>
    <xf numFmtId="0" fontId="0" fillId="2" borderId="9" xfId="0" applyFill="1" applyBorder="1" applyAlignment="1" applyProtection="1">
      <alignment wrapText="1"/>
      <protection hidden="1"/>
    </xf>
    <xf numFmtId="0" fontId="20" fillId="2" borderId="6" xfId="0" applyFont="1" applyFill="1" applyBorder="1" applyAlignment="1" applyProtection="1">
      <alignment horizontal="center" vertical="center" wrapText="1"/>
      <protection hidden="1"/>
    </xf>
    <xf numFmtId="0" fontId="20" fillId="2" borderId="4" xfId="0" applyFont="1" applyFill="1" applyBorder="1" applyAlignment="1" applyProtection="1">
      <alignment horizontal="center" vertical="center" wrapText="1"/>
      <protection hidden="1"/>
    </xf>
    <xf numFmtId="0" fontId="0" fillId="2" borderId="4" xfId="0" applyFill="1" applyBorder="1" applyAlignment="1" applyProtection="1">
      <protection hidden="1"/>
    </xf>
    <xf numFmtId="0" fontId="20" fillId="2" borderId="0" xfId="0" applyFont="1" applyFill="1" applyBorder="1" applyAlignment="1" applyProtection="1">
      <alignment horizontal="center" vertical="center" wrapText="1"/>
      <protection hidden="1"/>
    </xf>
    <xf numFmtId="0" fontId="12" fillId="2" borderId="9" xfId="0" applyFont="1" applyFill="1" applyBorder="1" applyAlignment="1" applyProtection="1">
      <alignment horizontal="center" vertical="center" wrapText="1"/>
      <protection hidden="1"/>
    </xf>
    <xf numFmtId="0" fontId="12" fillId="2" borderId="0" xfId="0" applyFont="1" applyFill="1" applyBorder="1" applyAlignment="1" applyProtection="1">
      <alignment horizontal="center" vertical="center" wrapText="1"/>
      <protection hidden="1"/>
    </xf>
    <xf numFmtId="0" fontId="0" fillId="2" borderId="3" xfId="0" applyFill="1" applyBorder="1" applyAlignment="1" applyProtection="1">
      <alignment wrapText="1"/>
      <protection hidden="1"/>
    </xf>
    <xf numFmtId="0" fontId="0" fillId="2" borderId="5" xfId="0" applyFill="1" applyBorder="1" applyAlignment="1" applyProtection="1">
      <alignment wrapText="1"/>
      <protection hidden="1"/>
    </xf>
    <xf numFmtId="0" fontId="20" fillId="6" borderId="13" xfId="0" applyFont="1" applyFill="1" applyBorder="1" applyAlignment="1" applyProtection="1">
      <alignment horizontal="center" vertical="center"/>
      <protection hidden="1"/>
    </xf>
    <xf numFmtId="0" fontId="20" fillId="2" borderId="10" xfId="0" applyFont="1" applyFill="1" applyBorder="1" applyAlignment="1" applyProtection="1">
      <alignment horizontal="center" vertical="center" wrapText="1"/>
      <protection hidden="1"/>
    </xf>
    <xf numFmtId="0" fontId="12" fillId="0" borderId="0" xfId="0" applyFont="1" applyFill="1" applyBorder="1" applyAlignment="1" applyProtection="1">
      <alignment horizontal="left" vertical="center" wrapText="1"/>
      <protection hidden="1"/>
    </xf>
    <xf numFmtId="0" fontId="12" fillId="2" borderId="10" xfId="0" applyFont="1" applyFill="1" applyBorder="1" applyAlignment="1" applyProtection="1">
      <alignment wrapText="1"/>
      <protection hidden="1"/>
    </xf>
    <xf numFmtId="10" fontId="20" fillId="4" borderId="2" xfId="0" applyNumberFormat="1" applyFont="1" applyFill="1" applyBorder="1" applyAlignment="1" applyProtection="1">
      <alignment horizontal="right" wrapText="1"/>
      <protection hidden="1"/>
    </xf>
    <xf numFmtId="0" fontId="12" fillId="2" borderId="0" xfId="0" applyFont="1" applyFill="1" applyBorder="1" applyAlignment="1" applyProtection="1">
      <alignment horizontal="right" wrapText="1"/>
      <protection hidden="1"/>
    </xf>
    <xf numFmtId="16" fontId="12" fillId="0" borderId="0" xfId="0" applyNumberFormat="1" applyFont="1" applyFill="1" applyBorder="1" applyAlignment="1" applyProtection="1">
      <alignment horizontal="left" vertical="center" wrapText="1"/>
      <protection hidden="1"/>
    </xf>
    <xf numFmtId="0" fontId="20" fillId="4" borderId="2" xfId="0" applyFont="1" applyFill="1" applyBorder="1" applyAlignment="1" applyProtection="1">
      <alignment horizontal="left" vertical="center" wrapText="1"/>
      <protection hidden="1"/>
    </xf>
    <xf numFmtId="0" fontId="12" fillId="2" borderId="2" xfId="0" applyFont="1" applyFill="1" applyBorder="1" applyAlignment="1" applyProtection="1">
      <alignment horizontal="center" vertical="center" wrapText="1"/>
      <protection locked="0"/>
    </xf>
    <xf numFmtId="0" fontId="0" fillId="0" borderId="10" xfId="0" applyBorder="1" applyAlignment="1" applyProtection="1">
      <alignment wrapText="1"/>
      <protection hidden="1"/>
    </xf>
    <xf numFmtId="0" fontId="20" fillId="2" borderId="3" xfId="0" applyFont="1" applyFill="1" applyBorder="1" applyAlignment="1" applyProtection="1">
      <alignment horizontal="center" vertical="center"/>
      <protection hidden="1"/>
    </xf>
    <xf numFmtId="0" fontId="20" fillId="2" borderId="14" xfId="0" applyFont="1" applyFill="1" applyBorder="1" applyAlignment="1" applyProtection="1">
      <alignment horizontal="center" vertical="center" wrapText="1"/>
      <protection hidden="1"/>
    </xf>
    <xf numFmtId="0" fontId="12" fillId="0" borderId="0" xfId="0" applyFont="1" applyBorder="1" applyProtection="1">
      <protection hidden="1"/>
    </xf>
    <xf numFmtId="0" fontId="20" fillId="2" borderId="3" xfId="0" applyFont="1" applyFill="1" applyBorder="1" applyAlignment="1" applyProtection="1">
      <alignment horizontal="center"/>
      <protection hidden="1"/>
    </xf>
    <xf numFmtId="0" fontId="20" fillId="2" borderId="0" xfId="0" applyFont="1" applyFill="1" applyBorder="1" applyAlignment="1" applyProtection="1">
      <alignment horizontal="center"/>
      <protection hidden="1"/>
    </xf>
    <xf numFmtId="0" fontId="20" fillId="7" borderId="12" xfId="0" applyFont="1" applyFill="1" applyBorder="1" applyAlignment="1" applyProtection="1">
      <alignment horizontal="center" vertical="center" wrapText="1"/>
      <protection hidden="1"/>
    </xf>
    <xf numFmtId="0" fontId="20" fillId="7" borderId="13" xfId="0" applyFont="1" applyFill="1" applyBorder="1" applyAlignment="1" applyProtection="1">
      <alignment horizontal="center" vertical="center"/>
      <protection hidden="1"/>
    </xf>
    <xf numFmtId="0" fontId="20" fillId="6" borderId="9" xfId="0" applyFont="1" applyFill="1" applyBorder="1" applyAlignment="1" applyProtection="1">
      <alignment horizontal="center" vertical="center"/>
      <protection hidden="1"/>
    </xf>
    <xf numFmtId="49" fontId="12" fillId="2" borderId="0" xfId="0" applyNumberFormat="1" applyFont="1" applyFill="1" applyBorder="1" applyAlignment="1" applyProtection="1">
      <alignment horizontal="center" vertical="center" wrapText="1"/>
      <protection hidden="1"/>
    </xf>
    <xf numFmtId="0" fontId="12" fillId="2" borderId="0" xfId="0" applyFont="1" applyFill="1" applyBorder="1" applyAlignment="1" applyProtection="1">
      <alignment horizontal="center" vertical="center"/>
      <protection hidden="1"/>
    </xf>
    <xf numFmtId="49" fontId="20" fillId="3" borderId="2" xfId="0" applyNumberFormat="1" applyFont="1" applyFill="1" applyBorder="1" applyAlignment="1" applyProtection="1">
      <alignment horizontal="center" vertical="center" wrapText="1"/>
      <protection locked="0"/>
    </xf>
    <xf numFmtId="49" fontId="12" fillId="2" borderId="2" xfId="0" applyNumberFormat="1" applyFont="1" applyFill="1" applyBorder="1" applyAlignment="1" applyProtection="1">
      <alignment vertical="center" wrapText="1"/>
      <protection locked="0"/>
    </xf>
    <xf numFmtId="4" fontId="20" fillId="3" borderId="2" xfId="0" applyNumberFormat="1" applyFont="1" applyFill="1" applyBorder="1" applyAlignment="1" applyProtection="1">
      <alignment horizontal="center" vertical="center" wrapText="1"/>
      <protection locked="0"/>
    </xf>
    <xf numFmtId="0" fontId="23" fillId="2" borderId="0" xfId="0" applyFont="1" applyFill="1" applyBorder="1" applyAlignment="1" applyProtection="1">
      <alignment vertical="center" wrapText="1"/>
      <protection hidden="1"/>
    </xf>
    <xf numFmtId="4" fontId="20" fillId="4" borderId="2" xfId="0" applyNumberFormat="1" applyFont="1" applyFill="1" applyBorder="1" applyAlignment="1" applyProtection="1">
      <alignment vertical="center" wrapText="1"/>
      <protection hidden="1"/>
    </xf>
    <xf numFmtId="10" fontId="20" fillId="4" borderId="2" xfId="0" applyNumberFormat="1" applyFont="1" applyFill="1" applyBorder="1" applyAlignment="1" applyProtection="1">
      <alignment vertical="center" wrapText="1"/>
      <protection hidden="1"/>
    </xf>
    <xf numFmtId="4" fontId="12" fillId="2" borderId="2" xfId="0" applyNumberFormat="1" applyFont="1" applyFill="1" applyBorder="1" applyAlignment="1" applyProtection="1">
      <alignment vertical="center" wrapText="1"/>
      <protection hidden="1"/>
    </xf>
    <xf numFmtId="4" fontId="12" fillId="4" borderId="2" xfId="0" applyNumberFormat="1" applyFont="1" applyFill="1" applyBorder="1" applyAlignment="1" applyProtection="1">
      <alignment vertical="center" wrapText="1"/>
      <protection hidden="1"/>
    </xf>
    <xf numFmtId="10" fontId="12" fillId="4" borderId="2" xfId="0" applyNumberFormat="1" applyFont="1" applyFill="1" applyBorder="1" applyAlignment="1" applyProtection="1">
      <alignment vertical="center" wrapText="1"/>
      <protection hidden="1"/>
    </xf>
    <xf numFmtId="0" fontId="12" fillId="4" borderId="0" xfId="0" applyFont="1" applyFill="1" applyBorder="1" applyAlignment="1" applyProtection="1">
      <alignment vertical="center" wrapText="1"/>
      <protection hidden="1"/>
    </xf>
    <xf numFmtId="10" fontId="23" fillId="4" borderId="2" xfId="0" applyNumberFormat="1" applyFont="1" applyFill="1" applyBorder="1" applyAlignment="1" applyProtection="1">
      <alignment vertical="center" wrapText="1"/>
      <protection hidden="1"/>
    </xf>
    <xf numFmtId="0" fontId="12" fillId="2" borderId="5" xfId="0" applyFont="1" applyFill="1" applyBorder="1" applyAlignment="1" applyProtection="1">
      <alignment vertical="center" wrapText="1"/>
      <protection hidden="1"/>
    </xf>
    <xf numFmtId="49" fontId="4" fillId="2" borderId="0" xfId="0" applyNumberFormat="1" applyFont="1" applyFill="1" applyProtection="1">
      <protection hidden="1"/>
    </xf>
    <xf numFmtId="49" fontId="12" fillId="2" borderId="0" xfId="0" applyNumberFormat="1" applyFont="1" applyFill="1" applyBorder="1" applyAlignment="1" applyProtection="1">
      <alignment wrapText="1"/>
      <protection hidden="1"/>
    </xf>
    <xf numFmtId="2" fontId="4" fillId="2" borderId="10" xfId="0" applyNumberFormat="1" applyFont="1" applyFill="1" applyBorder="1" applyAlignment="1" applyProtection="1">
      <alignment horizontal="center" wrapText="1"/>
      <protection hidden="1"/>
    </xf>
    <xf numFmtId="0" fontId="17" fillId="2" borderId="0" xfId="0" applyFont="1" applyFill="1" applyProtection="1">
      <protection hidden="1"/>
    </xf>
    <xf numFmtId="49" fontId="4" fillId="2" borderId="0" xfId="0" applyNumberFormat="1" applyFont="1" applyFill="1" applyBorder="1" applyAlignment="1" applyProtection="1">
      <alignment horizontal="center" vertical="center" wrapText="1"/>
      <protection hidden="1"/>
    </xf>
    <xf numFmtId="4" fontId="6" fillId="4" borderId="2" xfId="0" applyNumberFormat="1" applyFont="1" applyFill="1" applyBorder="1" applyAlignment="1" applyProtection="1">
      <alignment vertical="center" wrapText="1"/>
      <protection hidden="1"/>
    </xf>
    <xf numFmtId="10" fontId="24" fillId="4" borderId="2" xfId="0" applyNumberFormat="1" applyFont="1" applyFill="1" applyBorder="1" applyAlignment="1" applyProtection="1">
      <alignment vertical="center" wrapText="1"/>
      <protection hidden="1"/>
    </xf>
    <xf numFmtId="49" fontId="40" fillId="2" borderId="2" xfId="0" applyNumberFormat="1" applyFont="1" applyFill="1" applyBorder="1" applyAlignment="1" applyProtection="1">
      <alignment vertical="center" wrapText="1"/>
      <protection locked="0"/>
    </xf>
    <xf numFmtId="49" fontId="40" fillId="0" borderId="2" xfId="0" applyNumberFormat="1" applyFont="1" applyBorder="1" applyAlignment="1" applyProtection="1">
      <alignment vertical="center" wrapText="1"/>
      <protection locked="0"/>
    </xf>
    <xf numFmtId="0" fontId="40" fillId="2" borderId="0" xfId="0" applyFont="1" applyFill="1" applyAlignment="1" applyProtection="1">
      <alignment horizontal="left" vertical="center" wrapText="1"/>
      <protection hidden="1"/>
    </xf>
    <xf numFmtId="0" fontId="39" fillId="8" borderId="12" xfId="0" applyFont="1" applyFill="1" applyBorder="1" applyAlignment="1" applyProtection="1">
      <alignment horizontal="center" vertical="center" wrapText="1"/>
      <protection hidden="1"/>
    </xf>
    <xf numFmtId="0" fontId="40" fillId="2" borderId="0" xfId="0" applyFont="1" applyFill="1" applyAlignment="1" applyProtection="1">
      <alignment horizontal="center" vertical="center" wrapText="1"/>
      <protection hidden="1"/>
    </xf>
    <xf numFmtId="0" fontId="38" fillId="2" borderId="0" xfId="0" applyFont="1" applyFill="1" applyProtection="1">
      <protection hidden="1"/>
    </xf>
    <xf numFmtId="0" fontId="30" fillId="2" borderId="0" xfId="0" applyFont="1" applyFill="1" applyBorder="1" applyAlignment="1" applyProtection="1">
      <alignment horizontal="left" vertical="center"/>
      <protection hidden="1"/>
    </xf>
    <xf numFmtId="0" fontId="4" fillId="2" borderId="3" xfId="0" applyFont="1" applyFill="1" applyBorder="1" applyAlignment="1" applyProtection="1">
      <alignment horizontal="center" wrapText="1"/>
      <protection hidden="1"/>
    </xf>
    <xf numFmtId="4" fontId="4" fillId="2" borderId="0" xfId="0" applyNumberFormat="1" applyFont="1" applyFill="1" applyBorder="1" applyAlignment="1" applyProtection="1">
      <alignment horizontal="center" wrapText="1"/>
      <protection hidden="1"/>
    </xf>
    <xf numFmtId="0" fontId="34" fillId="2" borderId="0" xfId="0" applyFont="1" applyFill="1" applyProtection="1">
      <protection hidden="1"/>
    </xf>
    <xf numFmtId="0" fontId="4" fillId="9" borderId="15" xfId="0" applyFont="1" applyFill="1" applyBorder="1" applyProtection="1">
      <protection hidden="1"/>
    </xf>
    <xf numFmtId="0" fontId="0" fillId="0" borderId="0" xfId="0" applyAlignment="1" applyProtection="1">
      <alignment vertical="center" wrapText="1"/>
      <protection hidden="1"/>
    </xf>
    <xf numFmtId="0" fontId="4" fillId="10" borderId="0" xfId="0" applyFont="1" applyFill="1" applyProtection="1">
      <protection hidden="1"/>
    </xf>
    <xf numFmtId="0" fontId="14" fillId="2" borderId="0" xfId="0" applyFont="1" applyFill="1" applyBorder="1" applyAlignment="1" applyProtection="1">
      <alignment horizontal="center" vertical="center" wrapText="1"/>
      <protection hidden="1"/>
    </xf>
    <xf numFmtId="0" fontId="10" fillId="2" borderId="0" xfId="0" applyFont="1" applyFill="1" applyBorder="1" applyAlignment="1" applyProtection="1">
      <alignment vertical="center" wrapText="1"/>
      <protection hidden="1"/>
    </xf>
    <xf numFmtId="0" fontId="0" fillId="2" borderId="0" xfId="0" applyFill="1" applyAlignment="1" applyProtection="1">
      <protection hidden="1"/>
    </xf>
    <xf numFmtId="0" fontId="12" fillId="0" borderId="0" xfId="0" applyFont="1" applyBorder="1" applyAlignment="1" applyProtection="1">
      <alignment horizontal="center"/>
      <protection hidden="1"/>
    </xf>
    <xf numFmtId="0" fontId="12" fillId="2" borderId="3" xfId="0" applyFont="1" applyFill="1" applyBorder="1" applyAlignment="1" applyProtection="1">
      <alignment horizontal="center"/>
      <protection hidden="1"/>
    </xf>
    <xf numFmtId="0" fontId="0" fillId="2" borderId="0" xfId="0" applyFill="1" applyBorder="1" applyProtection="1">
      <protection hidden="1"/>
    </xf>
    <xf numFmtId="0" fontId="0" fillId="4" borderId="2" xfId="0" applyFill="1" applyBorder="1" applyAlignment="1" applyProtection="1">
      <alignment horizontal="center" vertical="center" wrapText="1"/>
      <protection hidden="1"/>
    </xf>
    <xf numFmtId="3" fontId="4" fillId="2" borderId="0" xfId="0" applyNumberFormat="1" applyFont="1" applyFill="1" applyProtection="1">
      <protection hidden="1"/>
    </xf>
    <xf numFmtId="0" fontId="0" fillId="2" borderId="0" xfId="0" applyFill="1" applyProtection="1">
      <protection hidden="1"/>
    </xf>
    <xf numFmtId="0" fontId="20" fillId="6" borderId="2" xfId="0" applyFont="1" applyFill="1" applyBorder="1" applyAlignment="1" applyProtection="1">
      <alignment horizontal="center" vertical="center" wrapText="1"/>
      <protection hidden="1"/>
    </xf>
    <xf numFmtId="0" fontId="12" fillId="4" borderId="2" xfId="0" applyFont="1" applyFill="1" applyBorder="1" applyAlignment="1" applyProtection="1">
      <alignment horizontal="center" vertical="center" wrapText="1"/>
      <protection hidden="1"/>
    </xf>
    <xf numFmtId="49" fontId="12" fillId="0" borderId="0" xfId="0" applyNumberFormat="1" applyFont="1" applyProtection="1">
      <protection hidden="1"/>
    </xf>
    <xf numFmtId="49" fontId="12" fillId="11" borderId="16" xfId="0" applyNumberFormat="1" applyFont="1" applyFill="1" applyBorder="1" applyAlignment="1" applyProtection="1">
      <alignment wrapText="1"/>
      <protection hidden="1"/>
    </xf>
    <xf numFmtId="49" fontId="12" fillId="11" borderId="17" xfId="0" applyNumberFormat="1" applyFont="1" applyFill="1" applyBorder="1" applyAlignment="1" applyProtection="1">
      <alignment wrapText="1"/>
      <protection hidden="1"/>
    </xf>
    <xf numFmtId="49" fontId="12" fillId="11" borderId="18" xfId="0" applyNumberFormat="1" applyFont="1" applyFill="1" applyBorder="1" applyAlignment="1" applyProtection="1">
      <alignment wrapText="1"/>
      <protection hidden="1"/>
    </xf>
    <xf numFmtId="49" fontId="20" fillId="0" borderId="19" xfId="0" applyNumberFormat="1" applyFont="1" applyBorder="1" applyAlignment="1" applyProtection="1">
      <alignment wrapText="1"/>
      <protection hidden="1"/>
    </xf>
    <xf numFmtId="49" fontId="20" fillId="0" borderId="20" xfId="0" applyNumberFormat="1" applyFont="1" applyBorder="1" applyAlignment="1" applyProtection="1">
      <alignment wrapText="1"/>
      <protection hidden="1"/>
    </xf>
    <xf numFmtId="49" fontId="12" fillId="0" borderId="20" xfId="0" applyNumberFormat="1" applyFont="1" applyBorder="1" applyAlignment="1" applyProtection="1">
      <alignment horizontal="center" wrapText="1"/>
      <protection hidden="1"/>
    </xf>
    <xf numFmtId="49" fontId="20" fillId="0" borderId="21" xfId="0" applyNumberFormat="1" applyFont="1" applyBorder="1" applyAlignment="1" applyProtection="1">
      <alignment horizontal="center" wrapText="1"/>
      <protection hidden="1"/>
    </xf>
    <xf numFmtId="49" fontId="20" fillId="0" borderId="19" xfId="0" applyNumberFormat="1" applyFont="1" applyBorder="1" applyAlignment="1" applyProtection="1">
      <alignment horizontal="center" wrapText="1"/>
      <protection hidden="1"/>
    </xf>
    <xf numFmtId="49" fontId="20" fillId="0" borderId="20" xfId="0" applyNumberFormat="1" applyFont="1" applyBorder="1" applyAlignment="1" applyProtection="1">
      <alignment horizontal="left" wrapText="1" indent="1"/>
      <protection hidden="1"/>
    </xf>
    <xf numFmtId="49" fontId="12" fillId="0" borderId="21" xfId="0" applyNumberFormat="1" applyFont="1" applyBorder="1" applyAlignment="1" applyProtection="1">
      <alignment horizontal="center" wrapText="1"/>
      <protection hidden="1"/>
    </xf>
    <xf numFmtId="49" fontId="12" fillId="0" borderId="19" xfId="0" applyNumberFormat="1" applyFont="1" applyBorder="1" applyAlignment="1" applyProtection="1">
      <alignment wrapText="1"/>
      <protection hidden="1"/>
    </xf>
    <xf numFmtId="49" fontId="12" fillId="0" borderId="20" xfId="0" applyNumberFormat="1" applyFont="1" applyBorder="1" applyAlignment="1" applyProtection="1">
      <alignment wrapText="1"/>
      <protection hidden="1"/>
    </xf>
    <xf numFmtId="49" fontId="12" fillId="0" borderId="19" xfId="0" applyNumberFormat="1" applyFont="1" applyBorder="1" applyAlignment="1" applyProtection="1">
      <alignment horizontal="center" wrapText="1"/>
      <protection hidden="1"/>
    </xf>
    <xf numFmtId="49" fontId="12" fillId="0" borderId="20" xfId="0" applyNumberFormat="1" applyFont="1" applyBorder="1" applyAlignment="1" applyProtection="1">
      <alignment horizontal="left" wrapText="1" indent="1"/>
      <protection hidden="1"/>
    </xf>
    <xf numFmtId="49" fontId="12" fillId="0" borderId="21" xfId="0" applyNumberFormat="1" applyFont="1" applyBorder="1" applyAlignment="1" applyProtection="1">
      <alignment wrapText="1"/>
      <protection hidden="1"/>
    </xf>
    <xf numFmtId="49" fontId="12" fillId="0" borderId="0" xfId="0" applyNumberFormat="1" applyFont="1" applyAlignment="1" applyProtection="1">
      <alignment horizontal="center" wrapText="1"/>
      <protection hidden="1"/>
    </xf>
    <xf numFmtId="0" fontId="12" fillId="3" borderId="2" xfId="0" applyFont="1" applyFill="1" applyBorder="1" applyAlignment="1" applyProtection="1">
      <alignment horizontal="left" vertical="center" wrapText="1"/>
      <protection locked="0"/>
    </xf>
    <xf numFmtId="4" fontId="12" fillId="2" borderId="2" xfId="0" applyNumberFormat="1" applyFont="1" applyFill="1" applyBorder="1" applyAlignment="1" applyProtection="1">
      <alignment horizontal="center" vertical="center" wrapText="1"/>
      <protection locked="0"/>
    </xf>
    <xf numFmtId="0" fontId="6" fillId="2" borderId="0" xfId="0" applyFont="1" applyFill="1" applyBorder="1" applyAlignment="1" applyProtection="1">
      <alignment horizontal="center" wrapText="1"/>
      <protection hidden="1"/>
    </xf>
    <xf numFmtId="0" fontId="12" fillId="2" borderId="9" xfId="0" applyFont="1" applyFill="1" applyBorder="1" applyAlignment="1" applyProtection="1">
      <alignment wrapText="1"/>
      <protection hidden="1"/>
    </xf>
    <xf numFmtId="0" fontId="4" fillId="2" borderId="0" xfId="0" applyFont="1" applyFill="1" applyBorder="1" applyAlignment="1" applyProtection="1">
      <alignment horizontal="center" wrapText="1"/>
      <protection hidden="1"/>
    </xf>
    <xf numFmtId="0" fontId="0" fillId="2" borderId="0" xfId="0" applyFill="1" applyAlignment="1" applyProtection="1">
      <alignment horizontal="center"/>
      <protection hidden="1"/>
    </xf>
    <xf numFmtId="0" fontId="6" fillId="4" borderId="2" xfId="0" applyFont="1" applyFill="1" applyBorder="1" applyProtection="1">
      <protection hidden="1"/>
    </xf>
    <xf numFmtId="0" fontId="12" fillId="2" borderId="3" xfId="0" applyFont="1" applyFill="1" applyBorder="1" applyAlignment="1" applyProtection="1">
      <alignment wrapText="1"/>
      <protection hidden="1"/>
    </xf>
    <xf numFmtId="4" fontId="27" fillId="2" borderId="0" xfId="0" applyNumberFormat="1" applyFont="1" applyFill="1" applyBorder="1" applyAlignment="1" applyProtection="1">
      <alignment wrapText="1"/>
      <protection hidden="1"/>
    </xf>
    <xf numFmtId="0" fontId="6" fillId="4" borderId="2" xfId="0" applyFont="1" applyFill="1" applyBorder="1" applyAlignment="1" applyProtection="1">
      <alignment horizontal="left" vertical="center" wrapText="1"/>
      <protection hidden="1"/>
    </xf>
    <xf numFmtId="0" fontId="4" fillId="4" borderId="2" xfId="0" applyFont="1" applyFill="1" applyBorder="1" applyAlignment="1" applyProtection="1">
      <alignment horizontal="center" vertical="center" wrapText="1"/>
      <protection hidden="1"/>
    </xf>
    <xf numFmtId="164" fontId="4" fillId="2" borderId="2" xfId="0" applyNumberFormat="1" applyFont="1" applyFill="1" applyBorder="1" applyAlignment="1" applyProtection="1">
      <alignment horizontal="right" vertical="center" wrapText="1"/>
      <protection locked="0"/>
    </xf>
    <xf numFmtId="0" fontId="22" fillId="2" borderId="0" xfId="0" applyFont="1" applyFill="1" applyBorder="1" applyAlignment="1" applyProtection="1">
      <alignment wrapText="1"/>
      <protection hidden="1"/>
    </xf>
    <xf numFmtId="49" fontId="12" fillId="2" borderId="2" xfId="0" applyNumberFormat="1" applyFont="1" applyFill="1" applyBorder="1" applyAlignment="1" applyProtection="1">
      <alignment horizontal="center" vertical="center" wrapText="1"/>
      <protection locked="0"/>
    </xf>
    <xf numFmtId="0" fontId="6" fillId="2" borderId="0" xfId="0" applyFont="1" applyFill="1" applyBorder="1" applyAlignment="1" applyProtection="1">
      <alignment wrapText="1"/>
      <protection hidden="1"/>
    </xf>
    <xf numFmtId="0" fontId="6" fillId="2" borderId="0" xfId="0" applyFont="1" applyFill="1" applyAlignment="1" applyProtection="1">
      <alignment horizontal="center" vertical="center" wrapText="1"/>
      <protection hidden="1"/>
    </xf>
    <xf numFmtId="49" fontId="4" fillId="2" borderId="2" xfId="0" applyNumberFormat="1" applyFont="1" applyFill="1" applyBorder="1" applyAlignment="1" applyProtection="1">
      <alignment vertical="center"/>
      <protection locked="0"/>
    </xf>
    <xf numFmtId="4" fontId="4" fillId="2" borderId="2" xfId="0" applyNumberFormat="1" applyFont="1" applyFill="1" applyBorder="1" applyAlignment="1" applyProtection="1">
      <alignment horizontal="center" vertical="center" wrapText="1"/>
      <protection locked="0"/>
    </xf>
    <xf numFmtId="4" fontId="4" fillId="2" borderId="2" xfId="0" applyNumberFormat="1" applyFont="1" applyFill="1" applyBorder="1" applyAlignment="1" applyProtection="1">
      <alignment horizontal="right" vertical="center" wrapText="1"/>
      <protection locked="0"/>
    </xf>
    <xf numFmtId="49" fontId="4" fillId="2" borderId="2" xfId="0" applyNumberFormat="1" applyFont="1" applyFill="1" applyBorder="1" applyAlignment="1" applyProtection="1">
      <alignment vertical="center" wrapText="1"/>
      <protection locked="0"/>
    </xf>
    <xf numFmtId="0" fontId="4" fillId="9" borderId="0" xfId="0" applyFont="1" applyFill="1" applyProtection="1">
      <protection hidden="1"/>
    </xf>
    <xf numFmtId="0" fontId="4" fillId="10" borderId="0" xfId="0" applyFont="1" applyFill="1" applyBorder="1" applyProtection="1">
      <protection hidden="1"/>
    </xf>
    <xf numFmtId="49" fontId="12" fillId="2" borderId="0" xfId="1" applyNumberFormat="1" applyFont="1" applyFill="1" applyBorder="1" applyAlignment="1" applyProtection="1">
      <alignment vertical="center" wrapText="1"/>
      <protection hidden="1"/>
    </xf>
    <xf numFmtId="49" fontId="0" fillId="2" borderId="0" xfId="0" applyNumberFormat="1" applyFont="1" applyFill="1" applyBorder="1" applyAlignment="1" applyProtection="1">
      <alignment vertical="center"/>
      <protection hidden="1"/>
    </xf>
    <xf numFmtId="0" fontId="4" fillId="2" borderId="0" xfId="0" applyFont="1" applyFill="1" applyBorder="1" applyAlignment="1" applyProtection="1">
      <alignment vertical="top" wrapText="1"/>
      <protection hidden="1"/>
    </xf>
    <xf numFmtId="0" fontId="4" fillId="2" borderId="0" xfId="0" applyFont="1" applyFill="1" applyAlignment="1" applyProtection="1">
      <alignment wrapText="1"/>
      <protection hidden="1"/>
    </xf>
    <xf numFmtId="0" fontId="4" fillId="2" borderId="0" xfId="0" applyFont="1" applyFill="1" applyAlignment="1" applyProtection="1">
      <alignment horizontal="justify" wrapText="1"/>
      <protection hidden="1"/>
    </xf>
    <xf numFmtId="0" fontId="42" fillId="2" borderId="0" xfId="0" applyFont="1" applyFill="1" applyBorder="1" applyAlignment="1" applyProtection="1">
      <alignment horizontal="center" vertical="center" wrapText="1"/>
      <protection hidden="1"/>
    </xf>
    <xf numFmtId="10" fontId="12" fillId="2" borderId="0" xfId="0" applyNumberFormat="1" applyFont="1" applyFill="1" applyBorder="1" applyAlignment="1" applyProtection="1">
      <alignment wrapText="1"/>
      <protection hidden="1"/>
    </xf>
    <xf numFmtId="0" fontId="0" fillId="0" borderId="5" xfId="0" applyBorder="1" applyAlignment="1"/>
    <xf numFmtId="0" fontId="0" fillId="2" borderId="5" xfId="0" applyFill="1" applyBorder="1" applyAlignment="1"/>
    <xf numFmtId="0" fontId="3" fillId="2" borderId="5" xfId="0" applyFont="1" applyFill="1" applyBorder="1" applyAlignment="1">
      <alignment horizontal="right"/>
    </xf>
    <xf numFmtId="0" fontId="12" fillId="10" borderId="0" xfId="0" applyFont="1" applyFill="1" applyProtection="1">
      <protection hidden="1"/>
    </xf>
    <xf numFmtId="0" fontId="12" fillId="2" borderId="0" xfId="0" applyFont="1" applyFill="1" applyAlignment="1" applyProtection="1">
      <protection hidden="1"/>
    </xf>
    <xf numFmtId="0" fontId="20" fillId="6" borderId="12" xfId="0" applyFont="1" applyFill="1" applyBorder="1" applyAlignment="1" applyProtection="1">
      <alignment horizontal="center" vertical="center"/>
      <protection hidden="1"/>
    </xf>
    <xf numFmtId="0" fontId="20" fillId="2" borderId="14" xfId="0" applyFont="1" applyFill="1" applyBorder="1" applyAlignment="1" applyProtection="1">
      <alignment horizontal="center" vertical="center"/>
      <protection hidden="1"/>
    </xf>
    <xf numFmtId="0" fontId="20" fillId="2" borderId="10" xfId="0" applyFont="1" applyFill="1" applyBorder="1" applyAlignment="1" applyProtection="1">
      <alignment horizontal="center" vertical="center"/>
      <protection hidden="1"/>
    </xf>
    <xf numFmtId="0" fontId="12" fillId="2" borderId="0" xfId="0" applyFont="1" applyFill="1" applyBorder="1" applyAlignment="1" applyProtection="1">
      <protection hidden="1"/>
    </xf>
    <xf numFmtId="4" fontId="12" fillId="2" borderId="2" xfId="0" applyNumberFormat="1" applyFont="1" applyFill="1" applyBorder="1" applyAlignment="1" applyProtection="1">
      <protection hidden="1"/>
    </xf>
    <xf numFmtId="4" fontId="12" fillId="4" borderId="2" xfId="0" applyNumberFormat="1" applyFont="1" applyFill="1" applyBorder="1" applyAlignment="1" applyProtection="1">
      <alignment horizontal="right" vertical="center" wrapText="1"/>
      <protection hidden="1"/>
    </xf>
    <xf numFmtId="0" fontId="4" fillId="2" borderId="22" xfId="0" applyFont="1" applyFill="1" applyBorder="1" applyProtection="1">
      <protection hidden="1"/>
    </xf>
    <xf numFmtId="0" fontId="4" fillId="2" borderId="23" xfId="0" applyFont="1" applyFill="1" applyBorder="1" applyProtection="1">
      <protection hidden="1"/>
    </xf>
    <xf numFmtId="2" fontId="12" fillId="2" borderId="0" xfId="0" applyNumberFormat="1" applyFont="1" applyFill="1" applyProtection="1">
      <protection hidden="1"/>
    </xf>
    <xf numFmtId="0" fontId="20" fillId="2" borderId="9" xfId="0" applyFont="1" applyFill="1" applyBorder="1" applyAlignment="1" applyProtection="1">
      <alignment horizontal="center" vertical="center" wrapText="1"/>
      <protection hidden="1"/>
    </xf>
    <xf numFmtId="0" fontId="34" fillId="2" borderId="0" xfId="0" applyFont="1" applyFill="1" applyBorder="1" applyAlignment="1" applyProtection="1">
      <alignment wrapText="1"/>
      <protection hidden="1"/>
    </xf>
    <xf numFmtId="0" fontId="20" fillId="0" borderId="5" xfId="0" applyFont="1" applyFill="1" applyBorder="1" applyAlignment="1" applyProtection="1">
      <alignment horizontal="center" vertical="center" wrapText="1"/>
      <protection hidden="1"/>
    </xf>
    <xf numFmtId="0" fontId="31" fillId="2" borderId="5" xfId="0" applyFont="1" applyFill="1" applyBorder="1" applyAlignment="1" applyProtection="1">
      <alignment horizontal="center" vertical="center"/>
      <protection hidden="1"/>
    </xf>
    <xf numFmtId="0" fontId="27" fillId="2" borderId="0" xfId="0" applyFont="1" applyFill="1" applyBorder="1" applyAlignment="1" applyProtection="1">
      <alignment vertical="center" wrapText="1"/>
      <protection hidden="1"/>
    </xf>
    <xf numFmtId="0" fontId="24" fillId="6" borderId="11" xfId="0" applyFont="1" applyFill="1" applyBorder="1" applyAlignment="1" applyProtection="1">
      <alignment horizontal="center" vertical="center"/>
      <protection hidden="1"/>
    </xf>
    <xf numFmtId="0" fontId="24" fillId="6" borderId="2" xfId="0" applyFont="1" applyFill="1" applyBorder="1" applyAlignment="1" applyProtection="1">
      <alignment vertical="center" wrapText="1"/>
      <protection hidden="1"/>
    </xf>
    <xf numFmtId="0" fontId="43" fillId="2" borderId="0" xfId="0" applyFont="1" applyFill="1" applyBorder="1" applyAlignment="1" applyProtection="1">
      <alignment vertical="center" wrapText="1"/>
      <protection hidden="1"/>
    </xf>
    <xf numFmtId="0" fontId="44" fillId="2" borderId="0" xfId="0" applyFont="1" applyFill="1" applyBorder="1" applyAlignment="1" applyProtection="1">
      <alignment vertical="center" wrapText="1"/>
      <protection hidden="1"/>
    </xf>
    <xf numFmtId="0" fontId="24" fillId="6" borderId="2" xfId="0" applyFont="1" applyFill="1" applyBorder="1" applyAlignment="1" applyProtection="1">
      <alignment horizontal="center" vertical="center" wrapText="1"/>
      <protection hidden="1"/>
    </xf>
    <xf numFmtId="4" fontId="24" fillId="6" borderId="2" xfId="0" applyNumberFormat="1" applyFont="1" applyFill="1" applyBorder="1" applyAlignment="1" applyProtection="1">
      <alignment vertical="center" wrapText="1"/>
      <protection hidden="1"/>
    </xf>
    <xf numFmtId="10" fontId="24" fillId="6" borderId="2" xfId="0" applyNumberFormat="1" applyFont="1" applyFill="1" applyBorder="1" applyAlignment="1" applyProtection="1">
      <alignment vertical="center" wrapText="1"/>
      <protection hidden="1"/>
    </xf>
    <xf numFmtId="0" fontId="47" fillId="2" borderId="0" xfId="0" applyFont="1" applyFill="1" applyProtection="1">
      <protection hidden="1"/>
    </xf>
    <xf numFmtId="0" fontId="28" fillId="2" borderId="0" xfId="0" applyFont="1" applyFill="1" applyProtection="1">
      <protection hidden="1"/>
    </xf>
    <xf numFmtId="0" fontId="30" fillId="5" borderId="0" xfId="0" applyFont="1" applyFill="1" applyBorder="1" applyAlignment="1" applyProtection="1">
      <alignment horizontal="left" vertical="center"/>
      <protection hidden="1"/>
    </xf>
    <xf numFmtId="0" fontId="27" fillId="5" borderId="0" xfId="0" applyFont="1" applyFill="1" applyAlignment="1" applyProtection="1">
      <protection hidden="1"/>
    </xf>
    <xf numFmtId="0" fontId="20" fillId="2" borderId="0" xfId="0" applyFont="1" applyFill="1" applyAlignment="1" applyProtection="1">
      <alignment horizontal="justify" vertical="center" wrapText="1"/>
      <protection hidden="1"/>
    </xf>
    <xf numFmtId="49" fontId="12" fillId="0" borderId="2" xfId="0" applyNumberFormat="1" applyFont="1" applyFill="1" applyBorder="1" applyAlignment="1" applyProtection="1">
      <alignment vertical="center" wrapText="1"/>
      <protection locked="0"/>
    </xf>
    <xf numFmtId="49" fontId="4" fillId="3" borderId="2" xfId="0" applyNumberFormat="1" applyFont="1" applyFill="1" applyBorder="1" applyAlignment="1" applyProtection="1">
      <alignment vertical="center" wrapText="1"/>
      <protection locked="0"/>
    </xf>
    <xf numFmtId="49" fontId="4" fillId="0" borderId="2" xfId="0" applyNumberFormat="1" applyFont="1" applyFill="1" applyBorder="1" applyAlignment="1" applyProtection="1">
      <alignment horizontal="center" vertical="center" wrapText="1"/>
      <protection locked="0"/>
    </xf>
    <xf numFmtId="4" fontId="4" fillId="0" borderId="2" xfId="0" applyNumberFormat="1" applyFont="1" applyFill="1" applyBorder="1" applyAlignment="1" applyProtection="1">
      <alignment horizontal="right" vertical="center" wrapText="1"/>
      <protection locked="0"/>
    </xf>
    <xf numFmtId="0" fontId="12" fillId="6" borderId="0" xfId="0" applyFont="1" applyFill="1" applyBorder="1" applyProtection="1">
      <protection hidden="1"/>
    </xf>
    <xf numFmtId="0" fontId="12" fillId="6" borderId="0" xfId="0" applyFont="1" applyFill="1" applyBorder="1" applyAlignment="1" applyProtection="1">
      <alignment horizontal="left" vertical="center" wrapText="1"/>
      <protection hidden="1"/>
    </xf>
    <xf numFmtId="0" fontId="27" fillId="6" borderId="0" xfId="0" applyFont="1" applyFill="1" applyBorder="1" applyAlignment="1" applyProtection="1">
      <alignment horizontal="left" vertical="center" wrapText="1"/>
      <protection hidden="1"/>
    </xf>
    <xf numFmtId="4" fontId="12" fillId="6" borderId="0" xfId="0" applyNumberFormat="1" applyFont="1" applyFill="1" applyBorder="1" applyAlignment="1" applyProtection="1">
      <alignment wrapText="1"/>
      <protection hidden="1"/>
    </xf>
    <xf numFmtId="0" fontId="27" fillId="6" borderId="0" xfId="0" applyFont="1" applyFill="1" applyBorder="1" applyAlignment="1" applyProtection="1">
      <alignment wrapText="1"/>
      <protection hidden="1"/>
    </xf>
    <xf numFmtId="10" fontId="12" fillId="6" borderId="0" xfId="0" applyNumberFormat="1" applyFont="1" applyFill="1" applyBorder="1" applyAlignment="1" applyProtection="1">
      <alignment wrapText="1"/>
      <protection hidden="1"/>
    </xf>
    <xf numFmtId="0" fontId="5" fillId="4" borderId="2" xfId="0" applyFont="1" applyFill="1" applyBorder="1" applyAlignment="1" applyProtection="1">
      <alignment horizontal="center" vertical="center"/>
      <protection hidden="1"/>
    </xf>
    <xf numFmtId="9" fontId="12" fillId="10" borderId="0" xfId="0" applyNumberFormat="1" applyFont="1" applyFill="1" applyAlignment="1" applyProtection="1">
      <alignment wrapText="1"/>
      <protection hidden="1"/>
    </xf>
    <xf numFmtId="9" fontId="12" fillId="10" borderId="0" xfId="0" applyNumberFormat="1" applyFont="1" applyFill="1" applyProtection="1">
      <protection hidden="1"/>
    </xf>
    <xf numFmtId="0" fontId="27" fillId="10" borderId="0" xfId="0" applyFont="1" applyFill="1" applyProtection="1">
      <protection hidden="1"/>
    </xf>
    <xf numFmtId="0" fontId="4" fillId="2" borderId="14" xfId="0" applyFont="1" applyFill="1" applyBorder="1" applyAlignment="1" applyProtection="1">
      <alignment vertical="top" wrapText="1"/>
      <protection locked="0"/>
    </xf>
    <xf numFmtId="0" fontId="4" fillId="2" borderId="10" xfId="0" applyFont="1" applyFill="1" applyBorder="1" applyAlignment="1" applyProtection="1">
      <alignment vertical="top" wrapText="1"/>
      <protection locked="0"/>
    </xf>
    <xf numFmtId="0" fontId="38" fillId="2" borderId="0" xfId="0" applyFont="1" applyFill="1" applyAlignment="1" applyProtection="1">
      <alignment vertical="top"/>
      <protection hidden="1"/>
    </xf>
    <xf numFmtId="0" fontId="12" fillId="7" borderId="0" xfId="0" applyFont="1" applyFill="1" applyBorder="1" applyProtection="1">
      <protection hidden="1"/>
    </xf>
    <xf numFmtId="0" fontId="27" fillId="7" borderId="0" xfId="0" applyFont="1" applyFill="1" applyBorder="1" applyAlignment="1" applyProtection="1">
      <alignment horizontal="left" vertical="center" wrapText="1"/>
      <protection hidden="1"/>
    </xf>
    <xf numFmtId="0" fontId="6" fillId="7" borderId="0" xfId="0" applyFont="1" applyFill="1" applyBorder="1" applyAlignment="1" applyProtection="1">
      <alignment horizontal="left" vertical="center" wrapText="1"/>
      <protection hidden="1"/>
    </xf>
    <xf numFmtId="0" fontId="27" fillId="7" borderId="0" xfId="0" applyFont="1" applyFill="1" applyBorder="1" applyAlignment="1" applyProtection="1">
      <alignment vertical="center" wrapText="1"/>
      <protection hidden="1"/>
    </xf>
    <xf numFmtId="0" fontId="6" fillId="7" borderId="0" xfId="0" applyNumberFormat="1" applyFont="1" applyFill="1" applyBorder="1" applyAlignment="1" applyProtection="1">
      <alignment horizontal="center" vertical="center" wrapText="1"/>
      <protection hidden="1"/>
    </xf>
    <xf numFmtId="0" fontId="48" fillId="2" borderId="0" xfId="0" applyFont="1" applyFill="1" applyBorder="1" applyAlignment="1" applyProtection="1">
      <alignment wrapText="1"/>
      <protection hidden="1"/>
    </xf>
    <xf numFmtId="0" fontId="49" fillId="2" borderId="0" xfId="0" applyFont="1" applyFill="1" applyBorder="1" applyAlignment="1" applyProtection="1">
      <alignment vertical="center" wrapText="1"/>
      <protection hidden="1"/>
    </xf>
    <xf numFmtId="0" fontId="48" fillId="2" borderId="0" xfId="0" applyFont="1" applyFill="1" applyBorder="1" applyAlignment="1" applyProtection="1">
      <alignment vertical="center" wrapText="1"/>
      <protection hidden="1"/>
    </xf>
    <xf numFmtId="4" fontId="5" fillId="4" borderId="2" xfId="0" applyNumberFormat="1" applyFont="1" applyFill="1" applyBorder="1" applyAlignment="1" applyProtection="1">
      <alignment vertical="center" wrapText="1"/>
      <protection hidden="1"/>
    </xf>
    <xf numFmtId="10" fontId="4" fillId="4" borderId="2" xfId="0" applyNumberFormat="1" applyFont="1" applyFill="1" applyBorder="1" applyAlignment="1" applyProtection="1">
      <alignment vertical="center" wrapText="1"/>
      <protection hidden="1"/>
    </xf>
    <xf numFmtId="4" fontId="5" fillId="6" borderId="2" xfId="0" applyNumberFormat="1" applyFont="1" applyFill="1" applyBorder="1" applyAlignment="1" applyProtection="1">
      <alignment vertical="center" wrapText="1"/>
      <protection hidden="1"/>
    </xf>
    <xf numFmtId="0" fontId="53" fillId="2" borderId="0" xfId="0" applyFont="1" applyFill="1" applyBorder="1" applyAlignment="1" applyProtection="1">
      <alignment vertical="center" wrapText="1"/>
      <protection hidden="1"/>
    </xf>
    <xf numFmtId="10" fontId="5" fillId="6" borderId="2" xfId="0" applyNumberFormat="1" applyFont="1" applyFill="1" applyBorder="1" applyAlignment="1" applyProtection="1">
      <alignment vertical="center" wrapText="1"/>
      <protection hidden="1"/>
    </xf>
    <xf numFmtId="0" fontId="5" fillId="4" borderId="2" xfId="0" applyFont="1" applyFill="1" applyBorder="1" applyAlignment="1" applyProtection="1">
      <alignment horizontal="center" vertical="center" wrapText="1"/>
      <protection hidden="1"/>
    </xf>
    <xf numFmtId="10" fontId="5" fillId="4" borderId="2" xfId="0" applyNumberFormat="1" applyFont="1" applyFill="1" applyBorder="1" applyAlignment="1" applyProtection="1">
      <alignment vertical="center" wrapText="1"/>
      <protection hidden="1"/>
    </xf>
    <xf numFmtId="49" fontId="40" fillId="2" borderId="2" xfId="0" applyNumberFormat="1" applyFont="1" applyFill="1" applyBorder="1" applyAlignment="1" applyProtection="1">
      <alignment vertical="center" wrapText="1"/>
      <protection hidden="1"/>
    </xf>
    <xf numFmtId="164" fontId="40" fillId="4" borderId="2" xfId="0" applyNumberFormat="1" applyFont="1" applyFill="1" applyBorder="1" applyAlignment="1" applyProtection="1">
      <alignment vertical="center" wrapText="1"/>
      <protection hidden="1"/>
    </xf>
    <xf numFmtId="0" fontId="35" fillId="2" borderId="0" xfId="0" applyFont="1" applyFill="1" applyBorder="1" applyAlignment="1" applyProtection="1">
      <alignment wrapText="1"/>
      <protection hidden="1"/>
    </xf>
    <xf numFmtId="0" fontId="4" fillId="4" borderId="2" xfId="0" applyFont="1" applyFill="1" applyBorder="1" applyAlignment="1" applyProtection="1">
      <alignment horizontal="center" wrapText="1"/>
      <protection hidden="1"/>
    </xf>
    <xf numFmtId="0" fontId="12" fillId="2" borderId="13" xfId="0" applyFont="1" applyFill="1" applyBorder="1" applyAlignment="1" applyProtection="1">
      <protection hidden="1"/>
    </xf>
    <xf numFmtId="0" fontId="25" fillId="2" borderId="13" xfId="0" applyFont="1" applyFill="1" applyBorder="1" applyAlignment="1" applyProtection="1">
      <alignment vertical="center" wrapText="1"/>
      <protection hidden="1"/>
    </xf>
    <xf numFmtId="4" fontId="24" fillId="4" borderId="2" xfId="0" applyNumberFormat="1" applyFont="1" applyFill="1" applyBorder="1" applyAlignment="1" applyProtection="1">
      <alignment vertical="center" wrapText="1"/>
      <protection hidden="1"/>
    </xf>
    <xf numFmtId="10" fontId="20" fillId="4" borderId="2" xfId="0" applyNumberFormat="1" applyFont="1" applyFill="1" applyBorder="1" applyAlignment="1" applyProtection="1">
      <alignment horizontal="right" vertical="center" wrapText="1"/>
      <protection hidden="1"/>
    </xf>
    <xf numFmtId="0" fontId="12" fillId="2" borderId="13" xfId="0" applyFont="1" applyFill="1" applyBorder="1" applyAlignment="1" applyProtection="1">
      <alignment horizontal="center" vertical="center"/>
      <protection hidden="1"/>
    </xf>
    <xf numFmtId="0" fontId="12" fillId="2" borderId="13" xfId="0" applyFont="1" applyFill="1" applyBorder="1" applyAlignment="1" applyProtection="1">
      <alignment horizontal="right" vertical="center" wrapText="1"/>
      <protection hidden="1"/>
    </xf>
    <xf numFmtId="14" fontId="4" fillId="2" borderId="2" xfId="0" applyNumberFormat="1" applyFont="1" applyFill="1" applyBorder="1" applyAlignment="1" applyProtection="1">
      <alignment vertical="center" wrapText="1"/>
      <protection locked="0"/>
    </xf>
    <xf numFmtId="14" fontId="4" fillId="2" borderId="2" xfId="0" applyNumberFormat="1" applyFont="1" applyFill="1" applyBorder="1" applyAlignment="1" applyProtection="1">
      <alignment horizontal="center" vertical="center" wrapText="1"/>
      <protection locked="0"/>
    </xf>
    <xf numFmtId="0" fontId="20" fillId="6" borderId="24" xfId="0" applyFont="1" applyFill="1" applyBorder="1" applyAlignment="1" applyProtection="1">
      <alignment horizontal="center" vertical="center" wrapText="1"/>
      <protection hidden="1"/>
    </xf>
    <xf numFmtId="14" fontId="12" fillId="12" borderId="0" xfId="0" applyNumberFormat="1" applyFont="1" applyFill="1" applyProtection="1">
      <protection hidden="1"/>
    </xf>
    <xf numFmtId="0" fontId="20" fillId="2" borderId="0" xfId="0" applyFont="1" applyFill="1" applyBorder="1" applyAlignment="1" applyProtection="1">
      <alignment horizontal="center" vertical="center"/>
      <protection hidden="1"/>
    </xf>
    <xf numFmtId="0" fontId="20" fillId="6" borderId="0" xfId="0" applyFont="1" applyFill="1" applyBorder="1" applyAlignment="1" applyProtection="1">
      <alignment horizontal="center" vertical="center"/>
      <protection hidden="1"/>
    </xf>
    <xf numFmtId="0" fontId="6" fillId="2" borderId="10" xfId="0" applyFont="1" applyFill="1" applyBorder="1" applyAlignment="1" applyProtection="1">
      <alignment horizontal="center" vertical="center" wrapText="1"/>
      <protection hidden="1"/>
    </xf>
    <xf numFmtId="0" fontId="0" fillId="6" borderId="2" xfId="0" applyFill="1" applyBorder="1" applyAlignment="1" applyProtection="1">
      <alignment horizontal="center" vertical="center" wrapText="1"/>
      <protection hidden="1"/>
    </xf>
    <xf numFmtId="0" fontId="0" fillId="0" borderId="3" xfId="0" applyBorder="1" applyAlignment="1" applyProtection="1">
      <alignment wrapText="1"/>
      <protection hidden="1"/>
    </xf>
    <xf numFmtId="0" fontId="20" fillId="2" borderId="3" xfId="0" applyFont="1" applyFill="1" applyBorder="1" applyAlignment="1" applyProtection="1">
      <alignment horizontal="center"/>
    </xf>
    <xf numFmtId="4" fontId="6" fillId="4" borderId="2" xfId="0" applyNumberFormat="1" applyFont="1" applyFill="1" applyBorder="1" applyAlignment="1" applyProtection="1">
      <alignment wrapText="1"/>
      <protection hidden="1"/>
    </xf>
    <xf numFmtId="0" fontId="20" fillId="2" borderId="0" xfId="0" applyFont="1" applyFill="1" applyBorder="1" applyAlignment="1" applyProtection="1">
      <alignment horizontal="center"/>
    </xf>
    <xf numFmtId="4" fontId="26" fillId="4" borderId="2" xfId="0" applyNumberFormat="1" applyFont="1" applyFill="1" applyBorder="1" applyAlignment="1" applyProtection="1">
      <alignment wrapText="1"/>
      <protection hidden="1"/>
    </xf>
    <xf numFmtId="3" fontId="4" fillId="2" borderId="0" xfId="0" applyNumberFormat="1" applyFont="1" applyFill="1" applyAlignment="1" applyProtection="1">
      <alignment horizontal="right"/>
      <protection hidden="1"/>
    </xf>
    <xf numFmtId="0" fontId="4" fillId="2" borderId="0" xfId="0" applyNumberFormat="1" applyFont="1" applyFill="1" applyAlignment="1" applyProtection="1">
      <alignment horizontal="right"/>
      <protection hidden="1"/>
    </xf>
    <xf numFmtId="0" fontId="0" fillId="0" borderId="0" xfId="0" applyAlignment="1" applyProtection="1">
      <protection hidden="1"/>
    </xf>
    <xf numFmtId="0" fontId="45" fillId="6" borderId="24" xfId="0" applyNumberFormat="1" applyFont="1" applyFill="1" applyBorder="1" applyAlignment="1" applyProtection="1">
      <alignment horizontal="center" vertical="center" wrapText="1"/>
      <protection hidden="1"/>
    </xf>
    <xf numFmtId="0" fontId="20" fillId="2" borderId="3" xfId="0" applyFont="1" applyFill="1" applyBorder="1" applyAlignment="1" applyProtection="1">
      <alignment horizontal="center" vertical="center" wrapText="1"/>
      <protection hidden="1"/>
    </xf>
    <xf numFmtId="0" fontId="20" fillId="0" borderId="0" xfId="0" applyFont="1" applyFill="1" applyBorder="1" applyAlignment="1" applyProtection="1">
      <alignment horizontal="center" vertical="center" wrapText="1"/>
      <protection hidden="1"/>
    </xf>
    <xf numFmtId="49" fontId="12" fillId="10" borderId="0" xfId="0" applyNumberFormat="1" applyFont="1" applyFill="1" applyProtection="1">
      <protection hidden="1"/>
    </xf>
    <xf numFmtId="0" fontId="12" fillId="12" borderId="0" xfId="0" applyFont="1" applyFill="1" applyProtection="1">
      <protection hidden="1"/>
    </xf>
    <xf numFmtId="4" fontId="12" fillId="13" borderId="0" xfId="0" applyNumberFormat="1" applyFont="1" applyFill="1" applyProtection="1">
      <protection hidden="1"/>
    </xf>
    <xf numFmtId="0" fontId="12" fillId="6" borderId="0" xfId="0" applyFont="1" applyFill="1" applyProtection="1">
      <protection hidden="1"/>
    </xf>
    <xf numFmtId="0" fontId="6" fillId="2" borderId="9" xfId="0" applyFont="1" applyFill="1" applyBorder="1" applyAlignment="1" applyProtection="1">
      <alignment wrapText="1"/>
      <protection hidden="1"/>
    </xf>
    <xf numFmtId="0" fontId="0" fillId="2" borderId="10" xfId="0" applyFill="1" applyBorder="1" applyProtection="1">
      <protection hidden="1"/>
    </xf>
    <xf numFmtId="0" fontId="0" fillId="0" borderId="0" xfId="0" applyBorder="1" applyAlignment="1" applyProtection="1">
      <protection hidden="1"/>
    </xf>
    <xf numFmtId="0" fontId="45" fillId="6" borderId="6" xfId="0" applyNumberFormat="1" applyFont="1" applyFill="1" applyBorder="1" applyAlignment="1" applyProtection="1">
      <alignment horizontal="center" vertical="center" wrapText="1"/>
      <protection hidden="1"/>
    </xf>
    <xf numFmtId="49" fontId="12" fillId="2" borderId="0" xfId="0" applyNumberFormat="1" applyFont="1" applyFill="1" applyProtection="1">
      <protection hidden="1"/>
    </xf>
    <xf numFmtId="165" fontId="28" fillId="4" borderId="2" xfId="0" applyNumberFormat="1" applyFont="1" applyFill="1" applyBorder="1" applyAlignment="1" applyProtection="1">
      <alignment horizontal="center" wrapText="1"/>
      <protection hidden="1"/>
    </xf>
    <xf numFmtId="0" fontId="5" fillId="2" borderId="0" xfId="0" applyFont="1" applyFill="1" applyBorder="1" applyAlignment="1" applyProtection="1">
      <alignment horizontal="center" vertical="center"/>
      <protection hidden="1"/>
    </xf>
    <xf numFmtId="0" fontId="5" fillId="2" borderId="5" xfId="0" applyFont="1" applyFill="1" applyBorder="1" applyAlignment="1" applyProtection="1">
      <alignment horizontal="center" vertical="center"/>
      <protection hidden="1"/>
    </xf>
    <xf numFmtId="0" fontId="0" fillId="15" borderId="0" xfId="0" applyFill="1"/>
    <xf numFmtId="0" fontId="0" fillId="2" borderId="0" xfId="0" applyFill="1" applyBorder="1" applyAlignment="1"/>
    <xf numFmtId="0" fontId="0" fillId="15" borderId="0" xfId="0" applyFill="1" applyBorder="1"/>
    <xf numFmtId="0" fontId="4" fillId="15" borderId="0" xfId="0" applyFont="1" applyFill="1"/>
    <xf numFmtId="0" fontId="26" fillId="15" borderId="0" xfId="0" applyFont="1" applyFill="1" applyAlignment="1">
      <alignment horizontal="center"/>
    </xf>
    <xf numFmtId="0" fontId="0" fillId="15" borderId="0" xfId="0" applyFill="1" applyAlignment="1">
      <alignment horizontal="center"/>
    </xf>
    <xf numFmtId="0" fontId="4" fillId="15" borderId="0" xfId="0" applyFont="1" applyFill="1" applyAlignment="1">
      <alignment horizontal="right"/>
    </xf>
    <xf numFmtId="0" fontId="4" fillId="15" borderId="0" xfId="0" applyFont="1" applyFill="1" applyAlignment="1">
      <alignment horizontal="left"/>
    </xf>
    <xf numFmtId="0" fontId="26" fillId="2" borderId="5" xfId="0" applyFont="1" applyFill="1" applyBorder="1" applyAlignment="1" applyProtection="1">
      <alignment horizontal="left" vertical="center"/>
      <protection hidden="1"/>
    </xf>
    <xf numFmtId="0" fontId="0" fillId="2" borderId="43" xfId="0" applyFill="1" applyBorder="1" applyProtection="1">
      <protection hidden="1"/>
    </xf>
    <xf numFmtId="49" fontId="4" fillId="15" borderId="2" xfId="0" applyNumberFormat="1" applyFont="1" applyFill="1" applyBorder="1" applyAlignment="1" applyProtection="1">
      <alignment vertical="center" wrapText="1"/>
      <protection locked="0"/>
    </xf>
    <xf numFmtId="0" fontId="10" fillId="15" borderId="0" xfId="0" applyFont="1" applyFill="1" applyBorder="1" applyAlignment="1" applyProtection="1">
      <alignment vertical="center" wrapText="1"/>
      <protection locked="0"/>
    </xf>
    <xf numFmtId="0" fontId="0" fillId="15" borderId="0" xfId="0" applyFill="1" applyBorder="1" applyAlignment="1">
      <alignment vertical="center" wrapText="1"/>
    </xf>
    <xf numFmtId="0" fontId="27" fillId="15" borderId="0" xfId="0" applyFont="1" applyFill="1" applyBorder="1" applyAlignment="1" applyProtection="1">
      <alignment horizontal="left" vertical="center" wrapText="1"/>
      <protection hidden="1"/>
    </xf>
    <xf numFmtId="0" fontId="27" fillId="15" borderId="0" xfId="0" applyFont="1" applyFill="1" applyBorder="1" applyAlignment="1" applyProtection="1">
      <alignment vertical="center" wrapText="1"/>
      <protection hidden="1"/>
    </xf>
    <xf numFmtId="0" fontId="12" fillId="7" borderId="44" xfId="0" applyFont="1" applyFill="1" applyBorder="1" applyProtection="1">
      <protection hidden="1"/>
    </xf>
    <xf numFmtId="0" fontId="6" fillId="7" borderId="45" xfId="0" applyFont="1" applyFill="1" applyBorder="1" applyAlignment="1" applyProtection="1">
      <alignment horizontal="left" vertical="center" wrapText="1"/>
      <protection hidden="1"/>
    </xf>
    <xf numFmtId="0" fontId="6" fillId="7" borderId="46" xfId="0" applyNumberFormat="1" applyFont="1" applyFill="1" applyBorder="1" applyAlignment="1" applyProtection="1">
      <alignment horizontal="center" vertical="center" wrapText="1"/>
      <protection hidden="1"/>
    </xf>
    <xf numFmtId="0" fontId="4" fillId="4" borderId="2" xfId="0" applyFont="1" applyFill="1" applyBorder="1" applyAlignment="1" applyProtection="1">
      <alignment wrapText="1"/>
      <protection hidden="1"/>
    </xf>
    <xf numFmtId="4" fontId="4" fillId="4" borderId="2" xfId="0" applyNumberFormat="1" applyFont="1" applyFill="1" applyBorder="1" applyAlignment="1" applyProtection="1">
      <alignment vertical="center" wrapText="1"/>
      <protection hidden="1"/>
    </xf>
    <xf numFmtId="0" fontId="6" fillId="2" borderId="2" xfId="0" applyFont="1" applyFill="1" applyBorder="1" applyAlignment="1" applyProtection="1">
      <alignment vertical="center" wrapText="1"/>
      <protection hidden="1"/>
    </xf>
    <xf numFmtId="10" fontId="12" fillId="15" borderId="0" xfId="0" applyNumberFormat="1" applyFont="1" applyFill="1" applyAlignment="1" applyProtection="1">
      <alignment wrapText="1"/>
      <protection hidden="1"/>
    </xf>
    <xf numFmtId="9" fontId="12" fillId="15" borderId="0" xfId="0" applyNumberFormat="1" applyFont="1" applyFill="1" applyProtection="1">
      <protection hidden="1"/>
    </xf>
    <xf numFmtId="0" fontId="12" fillId="15" borderId="0" xfId="0" applyFont="1" applyFill="1" applyProtection="1">
      <protection hidden="1"/>
    </xf>
    <xf numFmtId="3" fontId="12" fillId="10" borderId="0" xfId="0" applyNumberFormat="1" applyFont="1" applyFill="1" applyProtection="1">
      <protection hidden="1"/>
    </xf>
    <xf numFmtId="4" fontId="5" fillId="15" borderId="2" xfId="0" applyNumberFormat="1" applyFont="1" applyFill="1" applyBorder="1" applyAlignment="1" applyProtection="1">
      <alignment vertical="center" wrapText="1"/>
      <protection locked="0"/>
    </xf>
    <xf numFmtId="0" fontId="12" fillId="6" borderId="0" xfId="0" applyFont="1" applyFill="1" applyBorder="1" applyAlignment="1" applyProtection="1">
      <protection hidden="1"/>
    </xf>
    <xf numFmtId="0" fontId="20" fillId="6" borderId="0" xfId="0" applyFont="1" applyFill="1" applyBorder="1" applyAlignment="1" applyProtection="1">
      <alignment horizontal="center" vertical="center" wrapText="1"/>
      <protection hidden="1"/>
    </xf>
    <xf numFmtId="0" fontId="4" fillId="15" borderId="0" xfId="0" applyFont="1" applyFill="1" applyBorder="1" applyAlignment="1" applyProtection="1">
      <alignment vertical="center" wrapText="1"/>
      <protection hidden="1"/>
    </xf>
    <xf numFmtId="0" fontId="4" fillId="15" borderId="0" xfId="0" applyFont="1" applyFill="1" applyBorder="1" applyProtection="1">
      <protection hidden="1"/>
    </xf>
    <xf numFmtId="0" fontId="4" fillId="15" borderId="0" xfId="0" applyFont="1" applyFill="1" applyBorder="1" applyAlignment="1" applyProtection="1">
      <alignment horizontal="center" wrapText="1"/>
      <protection hidden="1"/>
    </xf>
    <xf numFmtId="2" fontId="4" fillId="15" borderId="0" xfId="0" applyNumberFormat="1" applyFont="1" applyFill="1" applyBorder="1" applyAlignment="1" applyProtection="1">
      <alignment horizontal="center" wrapText="1"/>
      <protection hidden="1"/>
    </xf>
    <xf numFmtId="4" fontId="4" fillId="15" borderId="0" xfId="0" applyNumberFormat="1" applyFont="1" applyFill="1" applyBorder="1" applyAlignment="1" applyProtection="1">
      <alignment horizontal="center" wrapText="1"/>
      <protection hidden="1"/>
    </xf>
    <xf numFmtId="0" fontId="30" fillId="5" borderId="16" xfId="0" applyFont="1" applyFill="1" applyBorder="1" applyAlignment="1" applyProtection="1">
      <alignment horizontal="left" vertical="center"/>
      <protection hidden="1"/>
    </xf>
    <xf numFmtId="0" fontId="30" fillId="5" borderId="17" xfId="0" applyFont="1" applyFill="1" applyBorder="1" applyAlignment="1" applyProtection="1">
      <alignment horizontal="left" vertical="center"/>
      <protection hidden="1"/>
    </xf>
    <xf numFmtId="0" fontId="30" fillId="2" borderId="25" xfId="0" applyFont="1" applyFill="1" applyBorder="1" applyAlignment="1" applyProtection="1">
      <alignment horizontal="left" vertical="center"/>
      <protection hidden="1"/>
    </xf>
    <xf numFmtId="0" fontId="4" fillId="15" borderId="0" xfId="0" applyFont="1" applyFill="1" applyBorder="1" applyAlignment="1" applyProtection="1">
      <alignment wrapText="1"/>
      <protection hidden="1"/>
    </xf>
    <xf numFmtId="0" fontId="0" fillId="15" borderId="9" xfId="0" applyFill="1" applyBorder="1" applyAlignment="1">
      <alignment horizontal="center" vertical="center" wrapText="1"/>
    </xf>
    <xf numFmtId="0" fontId="20" fillId="15" borderId="9" xfId="0" applyFont="1" applyFill="1" applyBorder="1" applyAlignment="1" applyProtection="1">
      <alignment vertical="center" wrapText="1"/>
      <protection hidden="1"/>
    </xf>
    <xf numFmtId="0" fontId="0" fillId="15" borderId="9" xfId="0" applyFill="1" applyBorder="1" applyAlignment="1" applyProtection="1">
      <alignment horizontal="center" vertical="center" wrapText="1"/>
      <protection locked="0"/>
    </xf>
    <xf numFmtId="0" fontId="0" fillId="15" borderId="9" xfId="0" applyFill="1" applyBorder="1" applyProtection="1">
      <protection hidden="1"/>
    </xf>
    <xf numFmtId="0" fontId="0" fillId="15" borderId="9" xfId="0" applyFill="1" applyBorder="1" applyAlignment="1" applyProtection="1">
      <alignment wrapText="1"/>
      <protection hidden="1"/>
    </xf>
    <xf numFmtId="0" fontId="12" fillId="2" borderId="0" xfId="0" applyNumberFormat="1" applyFont="1" applyFill="1" applyBorder="1" applyProtection="1">
      <protection hidden="1"/>
    </xf>
    <xf numFmtId="0" fontId="0" fillId="15" borderId="0" xfId="0" applyFill="1" applyBorder="1" applyAlignment="1" applyProtection="1">
      <protection hidden="1"/>
    </xf>
    <xf numFmtId="0" fontId="0" fillId="15" borderId="0" xfId="0" applyFill="1" applyBorder="1" applyAlignment="1"/>
    <xf numFmtId="0" fontId="4" fillId="15" borderId="4" xfId="0" applyFont="1" applyFill="1" applyBorder="1" applyAlignment="1" applyProtection="1">
      <alignment wrapText="1"/>
      <protection hidden="1"/>
    </xf>
    <xf numFmtId="0" fontId="0" fillId="2" borderId="4" xfId="0" applyFill="1" applyBorder="1" applyProtection="1">
      <protection hidden="1"/>
    </xf>
    <xf numFmtId="0" fontId="0" fillId="15" borderId="4" xfId="0" applyFill="1" applyBorder="1" applyAlignment="1"/>
    <xf numFmtId="0" fontId="12" fillId="0" borderId="0" xfId="0" applyFont="1" applyFill="1" applyBorder="1" applyAlignment="1" applyProtection="1">
      <alignment vertical="center" wrapText="1"/>
      <protection hidden="1"/>
    </xf>
    <xf numFmtId="0" fontId="12" fillId="16" borderId="0" xfId="0" applyFont="1" applyFill="1" applyBorder="1" applyProtection="1">
      <protection hidden="1"/>
    </xf>
    <xf numFmtId="0" fontId="20" fillId="17" borderId="47" xfId="0" applyFont="1" applyFill="1" applyBorder="1" applyAlignment="1" applyProtection="1">
      <alignment horizontal="center" vertical="center" wrapText="1"/>
      <protection hidden="1"/>
    </xf>
    <xf numFmtId="0" fontId="12" fillId="16" borderId="0" xfId="0" applyFont="1" applyFill="1" applyBorder="1" applyAlignment="1" applyProtection="1">
      <alignment wrapText="1"/>
      <protection hidden="1"/>
    </xf>
    <xf numFmtId="0" fontId="4" fillId="16" borderId="0" xfId="0" applyFont="1" applyFill="1" applyBorder="1" applyProtection="1">
      <protection hidden="1"/>
    </xf>
    <xf numFmtId="0" fontId="6" fillId="16" borderId="0" xfId="0" applyFont="1" applyFill="1" applyBorder="1" applyAlignment="1" applyProtection="1">
      <alignment horizontal="center" wrapText="1"/>
      <protection hidden="1"/>
    </xf>
    <xf numFmtId="0" fontId="4" fillId="16" borderId="0" xfId="0" applyFont="1" applyFill="1" applyBorder="1" applyAlignment="1" applyProtection="1">
      <alignment horizontal="center" wrapText="1"/>
      <protection hidden="1"/>
    </xf>
    <xf numFmtId="0" fontId="20" fillId="16" borderId="0" xfId="0" applyFont="1" applyFill="1" applyBorder="1" applyAlignment="1" applyProtection="1">
      <alignment horizontal="center" wrapText="1"/>
      <protection hidden="1"/>
    </xf>
    <xf numFmtId="0" fontId="20" fillId="16" borderId="48" xfId="0" applyFont="1" applyFill="1" applyBorder="1" applyAlignment="1" applyProtection="1">
      <alignment horizontal="center" vertical="center"/>
      <protection hidden="1"/>
    </xf>
    <xf numFmtId="0" fontId="20" fillId="16" borderId="47" xfId="0" applyFont="1" applyFill="1" applyBorder="1" applyAlignment="1" applyProtection="1">
      <alignment horizontal="center" vertical="center" wrapText="1"/>
      <protection hidden="1"/>
    </xf>
    <xf numFmtId="0" fontId="4" fillId="0" borderId="0" xfId="0" applyFont="1" applyFill="1" applyBorder="1" applyProtection="1">
      <protection hidden="1"/>
    </xf>
    <xf numFmtId="0" fontId="12" fillId="16" borderId="0" xfId="0" applyFont="1" applyFill="1" applyBorder="1" applyAlignment="1" applyProtection="1">
      <alignment horizontal="left" vertical="center" wrapText="1"/>
      <protection hidden="1"/>
    </xf>
    <xf numFmtId="0" fontId="12" fillId="16" borderId="0" xfId="0" applyFont="1" applyFill="1" applyBorder="1" applyAlignment="1" applyProtection="1">
      <alignment vertical="center" wrapText="1"/>
      <protection hidden="1"/>
    </xf>
    <xf numFmtId="49" fontId="12" fillId="16" borderId="49" xfId="0" applyNumberFormat="1" applyFont="1" applyFill="1" applyBorder="1" applyAlignment="1" applyProtection="1">
      <alignment vertical="center" wrapText="1"/>
      <protection locked="0"/>
    </xf>
    <xf numFmtId="49" fontId="12" fillId="0" borderId="49" xfId="0" applyNumberFormat="1" applyFont="1" applyFill="1" applyBorder="1" applyAlignment="1" applyProtection="1">
      <alignment vertical="center" wrapText="1"/>
      <protection locked="0"/>
    </xf>
    <xf numFmtId="16" fontId="12" fillId="16" borderId="0" xfId="0" applyNumberFormat="1" applyFont="1" applyFill="1" applyBorder="1" applyAlignment="1" applyProtection="1">
      <alignment vertical="center" wrapText="1"/>
      <protection hidden="1"/>
    </xf>
    <xf numFmtId="0" fontId="12" fillId="16" borderId="49" xfId="0" applyFont="1" applyFill="1" applyBorder="1" applyAlignment="1" applyProtection="1">
      <alignment vertical="center" wrapText="1"/>
      <protection locked="0"/>
    </xf>
    <xf numFmtId="0" fontId="23" fillId="16" borderId="0" xfId="0" applyFont="1" applyFill="1" applyBorder="1" applyAlignment="1" applyProtection="1">
      <alignment vertical="center" wrapText="1"/>
      <protection hidden="1"/>
    </xf>
    <xf numFmtId="49" fontId="23" fillId="16" borderId="49" xfId="0" applyNumberFormat="1" applyFont="1" applyFill="1" applyBorder="1" applyAlignment="1" applyProtection="1">
      <alignment vertical="center" wrapText="1"/>
      <protection locked="0"/>
    </xf>
    <xf numFmtId="0" fontId="63" fillId="0" borderId="0" xfId="0" applyFont="1" applyAlignment="1">
      <alignment vertical="center"/>
    </xf>
    <xf numFmtId="0" fontId="58" fillId="0" borderId="0" xfId="0" applyFont="1"/>
    <xf numFmtId="0" fontId="4" fillId="15" borderId="0" xfId="0" applyFont="1" applyFill="1" applyBorder="1" applyAlignment="1" applyProtection="1">
      <alignment horizontal="left" vertical="center"/>
      <protection hidden="1"/>
    </xf>
    <xf numFmtId="0" fontId="4" fillId="15" borderId="0" xfId="0" applyFont="1" applyFill="1" applyProtection="1">
      <protection hidden="1"/>
    </xf>
    <xf numFmtId="3" fontId="4" fillId="15" borderId="0" xfId="0" applyNumberFormat="1" applyFont="1" applyFill="1" applyProtection="1">
      <protection hidden="1"/>
    </xf>
    <xf numFmtId="0" fontId="4" fillId="18" borderId="0" xfId="0" applyFont="1" applyFill="1" applyBorder="1" applyProtection="1">
      <protection hidden="1"/>
    </xf>
    <xf numFmtId="0" fontId="0" fillId="19" borderId="2" xfId="0" applyFill="1" applyBorder="1" applyAlignment="1" applyProtection="1">
      <alignment horizontal="center" vertical="center" wrapText="1"/>
      <protection locked="0"/>
    </xf>
    <xf numFmtId="0" fontId="4" fillId="0" borderId="1" xfId="0" applyFont="1" applyBorder="1"/>
    <xf numFmtId="49" fontId="12" fillId="18" borderId="0" xfId="0" applyNumberFormat="1" applyFont="1" applyFill="1" applyProtection="1">
      <protection hidden="1"/>
    </xf>
    <xf numFmtId="49" fontId="12" fillId="18" borderId="16" xfId="0" applyNumberFormat="1" applyFont="1" applyFill="1" applyBorder="1" applyAlignment="1" applyProtection="1">
      <alignment horizontal="left"/>
      <protection hidden="1"/>
    </xf>
    <xf numFmtId="49" fontId="12" fillId="18" borderId="19" xfId="0" applyNumberFormat="1" applyFont="1" applyFill="1" applyBorder="1" applyAlignment="1" applyProtection="1">
      <alignment wrapText="1"/>
      <protection hidden="1"/>
    </xf>
    <xf numFmtId="0" fontId="0" fillId="0" borderId="0" xfId="0" applyFill="1" applyProtection="1">
      <protection hidden="1"/>
    </xf>
    <xf numFmtId="49" fontId="12" fillId="0" borderId="20" xfId="0" applyNumberFormat="1" applyFont="1" applyBorder="1" applyAlignment="1" applyProtection="1">
      <alignment horizontal="left" vertical="center" wrapText="1"/>
      <protection hidden="1"/>
    </xf>
    <xf numFmtId="49" fontId="12" fillId="0" borderId="19" xfId="0" applyNumberFormat="1" applyFont="1" applyBorder="1" applyAlignment="1" applyProtection="1">
      <alignment vertical="center" wrapText="1"/>
      <protection hidden="1"/>
    </xf>
    <xf numFmtId="49" fontId="12" fillId="0" borderId="20" xfId="0" applyNumberFormat="1" applyFont="1" applyBorder="1" applyAlignment="1" applyProtection="1">
      <alignment vertical="center" wrapText="1"/>
      <protection hidden="1"/>
    </xf>
    <xf numFmtId="49" fontId="12" fillId="0" borderId="20" xfId="0" applyNumberFormat="1" applyFont="1" applyBorder="1" applyAlignment="1" applyProtection="1">
      <alignment horizontal="center" vertical="center" wrapText="1"/>
      <protection hidden="1"/>
    </xf>
    <xf numFmtId="49" fontId="20" fillId="0" borderId="15" xfId="0" applyNumberFormat="1" applyFont="1" applyBorder="1" applyAlignment="1" applyProtection="1">
      <alignment horizontal="center" vertical="center" wrapText="1"/>
      <protection hidden="1"/>
    </xf>
    <xf numFmtId="49" fontId="20" fillId="0" borderId="26" xfId="0" applyNumberFormat="1" applyFont="1" applyBorder="1" applyAlignment="1" applyProtection="1">
      <alignment horizontal="center" vertical="center" wrapText="1"/>
      <protection hidden="1"/>
    </xf>
    <xf numFmtId="49" fontId="20" fillId="0" borderId="17" xfId="0" applyNumberFormat="1" applyFont="1" applyBorder="1" applyAlignment="1" applyProtection="1">
      <alignment horizontal="center" vertical="center" wrapText="1"/>
      <protection hidden="1"/>
    </xf>
    <xf numFmtId="49" fontId="0" fillId="2" borderId="0" xfId="0" applyNumberFormat="1" applyFill="1" applyProtection="1">
      <protection hidden="1"/>
    </xf>
    <xf numFmtId="49" fontId="12" fillId="0" borderId="21" xfId="0" applyNumberFormat="1" applyFont="1" applyBorder="1" applyAlignment="1" applyProtection="1">
      <alignment horizontal="center" vertical="center" wrapText="1"/>
      <protection hidden="1"/>
    </xf>
    <xf numFmtId="49" fontId="12" fillId="0" borderId="19" xfId="0" applyNumberFormat="1" applyFont="1" applyBorder="1" applyAlignment="1" applyProtection="1">
      <alignment horizontal="center" vertical="center" wrapText="1"/>
      <protection hidden="1"/>
    </xf>
    <xf numFmtId="49" fontId="12" fillId="0" borderId="0" xfId="0" applyNumberFormat="1" applyFont="1" applyAlignment="1" applyProtection="1">
      <alignment wrapText="1"/>
      <protection hidden="1"/>
    </xf>
    <xf numFmtId="49" fontId="12" fillId="0" borderId="0" xfId="0" applyNumberFormat="1" applyFont="1" applyAlignment="1" applyProtection="1">
      <alignment horizontal="left" wrapText="1" indent="1"/>
      <protection hidden="1"/>
    </xf>
    <xf numFmtId="49" fontId="20" fillId="14" borderId="17" xfId="0" applyNumberFormat="1" applyFont="1" applyFill="1" applyBorder="1" applyAlignment="1" applyProtection="1">
      <alignment wrapText="1"/>
      <protection hidden="1"/>
    </xf>
    <xf numFmtId="49" fontId="20" fillId="14" borderId="18" xfId="0" applyNumberFormat="1" applyFont="1" applyFill="1" applyBorder="1" applyAlignment="1" applyProtection="1">
      <alignment wrapText="1"/>
      <protection hidden="1"/>
    </xf>
    <xf numFmtId="49" fontId="0" fillId="0" borderId="0" xfId="0" applyNumberFormat="1" applyProtection="1">
      <protection hidden="1"/>
    </xf>
    <xf numFmtId="49" fontId="12" fillId="4" borderId="2" xfId="0" applyNumberFormat="1" applyFont="1" applyFill="1" applyBorder="1" applyAlignment="1" applyProtection="1">
      <alignment horizontal="center" vertical="center" wrapText="1"/>
      <protection hidden="1"/>
    </xf>
    <xf numFmtId="49" fontId="20" fillId="14" borderId="16" xfId="0" applyNumberFormat="1" applyFont="1" applyFill="1" applyBorder="1" applyAlignment="1" applyProtection="1">
      <alignment horizontal="left" wrapText="1"/>
      <protection hidden="1"/>
    </xf>
    <xf numFmtId="49" fontId="0" fillId="20" borderId="27" xfId="0" applyNumberFormat="1" applyFont="1" applyFill="1" applyBorder="1" applyAlignment="1" applyProtection="1">
      <alignment horizontal="center" vertical="center" wrapText="1"/>
      <protection hidden="1"/>
    </xf>
    <xf numFmtId="49" fontId="0" fillId="20" borderId="27" xfId="0" applyNumberFormat="1" applyFill="1" applyBorder="1" applyAlignment="1" applyProtection="1">
      <alignment horizontal="left" vertical="center" wrapText="1"/>
      <protection hidden="1"/>
    </xf>
    <xf numFmtId="49" fontId="0" fillId="20" borderId="27" xfId="0" applyNumberFormat="1" applyFill="1" applyBorder="1" applyAlignment="1" applyProtection="1">
      <alignment horizontal="center" vertical="center" wrapText="1"/>
      <protection hidden="1"/>
    </xf>
    <xf numFmtId="49" fontId="0" fillId="21" borderId="27" xfId="0" applyNumberFormat="1" applyFont="1" applyFill="1" applyBorder="1" applyAlignment="1" applyProtection="1">
      <alignment horizontal="center" vertical="center" wrapText="1"/>
      <protection locked="0"/>
    </xf>
    <xf numFmtId="49" fontId="0" fillId="21" borderId="27" xfId="0" applyNumberFormat="1" applyFill="1" applyBorder="1" applyAlignment="1" applyProtection="1">
      <alignment horizontal="center" vertical="center" wrapText="1"/>
      <protection locked="0"/>
    </xf>
    <xf numFmtId="49" fontId="0" fillId="20" borderId="28" xfId="0" applyNumberFormat="1" applyFill="1" applyBorder="1" applyAlignment="1" applyProtection="1">
      <alignment horizontal="center" vertical="center" wrapText="1"/>
      <protection hidden="1"/>
    </xf>
    <xf numFmtId="49" fontId="0" fillId="0" borderId="0" xfId="0" applyNumberFormat="1"/>
    <xf numFmtId="49" fontId="0" fillId="22" borderId="28" xfId="0" applyNumberFormat="1" applyFill="1" applyBorder="1" applyAlignment="1" applyProtection="1">
      <alignment horizontal="center" vertical="center" wrapText="1"/>
      <protection hidden="1"/>
    </xf>
    <xf numFmtId="49" fontId="0" fillId="20" borderId="0" xfId="0" applyNumberFormat="1" applyFill="1" applyBorder="1" applyAlignment="1" applyProtection="1">
      <alignment horizontal="left" vertical="center" wrapText="1"/>
      <protection hidden="1"/>
    </xf>
    <xf numFmtId="49" fontId="0" fillId="20" borderId="0" xfId="0" applyNumberFormat="1" applyFill="1" applyBorder="1" applyAlignment="1" applyProtection="1">
      <alignment horizontal="center" vertical="center" wrapText="1"/>
      <protection hidden="1"/>
    </xf>
    <xf numFmtId="49" fontId="0" fillId="20" borderId="0" xfId="0" applyNumberFormat="1" applyFill="1" applyProtection="1">
      <protection hidden="1"/>
    </xf>
    <xf numFmtId="49" fontId="0" fillId="0" borderId="0" xfId="0" applyNumberFormat="1" applyFill="1" applyProtection="1">
      <protection hidden="1"/>
    </xf>
    <xf numFmtId="4" fontId="59" fillId="2" borderId="2" xfId="0" applyNumberFormat="1" applyFont="1" applyFill="1" applyBorder="1" applyAlignment="1" applyProtection="1">
      <alignment horizontal="center" vertical="center" wrapText="1"/>
      <protection locked="0"/>
    </xf>
    <xf numFmtId="0" fontId="59" fillId="2" borderId="2" xfId="0" applyFont="1" applyFill="1" applyBorder="1" applyAlignment="1" applyProtection="1">
      <alignment horizontal="center" vertical="center" wrapText="1"/>
      <protection locked="0"/>
    </xf>
    <xf numFmtId="0" fontId="59" fillId="2" borderId="0" xfId="0" applyFont="1" applyFill="1" applyBorder="1" applyProtection="1">
      <protection hidden="1"/>
    </xf>
    <xf numFmtId="0" fontId="59" fillId="2" borderId="0" xfId="0" applyFont="1" applyFill="1" applyProtection="1">
      <protection hidden="1"/>
    </xf>
    <xf numFmtId="0" fontId="59" fillId="2" borderId="3" xfId="0" applyFont="1" applyFill="1" applyBorder="1" applyAlignment="1" applyProtection="1">
      <alignment wrapText="1"/>
      <protection hidden="1"/>
    </xf>
    <xf numFmtId="0" fontId="59" fillId="2" borderId="10" xfId="0" applyFont="1" applyFill="1" applyBorder="1" applyAlignment="1" applyProtection="1">
      <alignment wrapText="1"/>
      <protection hidden="1"/>
    </xf>
    <xf numFmtId="0" fontId="59" fillId="2" borderId="10" xfId="0" applyFont="1" applyFill="1" applyBorder="1" applyProtection="1">
      <protection hidden="1"/>
    </xf>
    <xf numFmtId="0" fontId="64" fillId="2" borderId="3" xfId="0" applyFont="1" applyFill="1" applyBorder="1" applyAlignment="1" applyProtection="1">
      <alignment wrapText="1"/>
      <protection hidden="1"/>
    </xf>
    <xf numFmtId="0" fontId="4" fillId="0" borderId="0" xfId="0" applyFont="1" applyAlignment="1" applyProtection="1">
      <alignment horizontal="center" wrapText="1"/>
      <protection hidden="1"/>
    </xf>
    <xf numFmtId="0" fontId="20" fillId="15" borderId="13" xfId="0" applyFont="1" applyFill="1" applyBorder="1" applyAlignment="1" applyProtection="1">
      <alignment horizontal="center" vertical="center"/>
      <protection hidden="1"/>
    </xf>
    <xf numFmtId="0" fontId="20" fillId="15" borderId="12" xfId="0" applyFont="1" applyFill="1" applyBorder="1" applyAlignment="1" applyProtection="1">
      <alignment horizontal="center" vertical="center" wrapText="1"/>
      <protection hidden="1"/>
    </xf>
    <xf numFmtId="0" fontId="6" fillId="15" borderId="0" xfId="0" applyFont="1" applyFill="1" applyProtection="1">
      <protection hidden="1"/>
    </xf>
    <xf numFmtId="49" fontId="12" fillId="15" borderId="0" xfId="0" applyNumberFormat="1" applyFont="1" applyFill="1" applyProtection="1">
      <protection hidden="1"/>
    </xf>
    <xf numFmtId="4" fontId="12" fillId="15" borderId="0" xfId="0" applyNumberFormat="1" applyFont="1" applyFill="1" applyProtection="1">
      <protection hidden="1"/>
    </xf>
    <xf numFmtId="49" fontId="12" fillId="2" borderId="10" xfId="0" applyNumberFormat="1" applyFont="1" applyFill="1" applyBorder="1" applyAlignment="1" applyProtection="1">
      <alignment vertical="center" wrapText="1"/>
      <protection locked="0"/>
    </xf>
    <xf numFmtId="49" fontId="12" fillId="2" borderId="6" xfId="0" applyNumberFormat="1" applyFont="1" applyFill="1" applyBorder="1" applyAlignment="1" applyProtection="1">
      <alignment vertical="center" wrapText="1"/>
      <protection locked="0"/>
    </xf>
    <xf numFmtId="49" fontId="12" fillId="2" borderId="0" xfId="0" applyNumberFormat="1" applyFont="1" applyFill="1" applyBorder="1" applyAlignment="1" applyProtection="1">
      <alignment vertical="center" wrapText="1"/>
      <protection locked="0"/>
    </xf>
    <xf numFmtId="0" fontId="6" fillId="15" borderId="0" xfId="0" applyFont="1" applyFill="1" applyBorder="1" applyAlignment="1" applyProtection="1">
      <alignment horizontal="left" vertical="center" wrapText="1"/>
      <protection hidden="1"/>
    </xf>
    <xf numFmtId="0" fontId="20" fillId="23" borderId="50" xfId="0" applyFont="1" applyFill="1" applyBorder="1" applyAlignment="1" applyProtection="1">
      <alignment horizontal="center" vertical="center" wrapText="1"/>
      <protection hidden="1"/>
    </xf>
    <xf numFmtId="0" fontId="20" fillId="23" borderId="47" xfId="0" applyFont="1" applyFill="1" applyBorder="1" applyAlignment="1" applyProtection="1">
      <alignment horizontal="center" vertical="center" wrapText="1"/>
      <protection hidden="1"/>
    </xf>
    <xf numFmtId="0" fontId="6" fillId="24" borderId="49" xfId="0" applyFont="1" applyFill="1" applyBorder="1" applyAlignment="1" applyProtection="1">
      <alignment horizontal="left" wrapText="1"/>
      <protection hidden="1"/>
    </xf>
    <xf numFmtId="0" fontId="6" fillId="23" borderId="0" xfId="0" applyFont="1" applyFill="1" applyBorder="1" applyAlignment="1" applyProtection="1">
      <alignment horizontal="left" wrapText="1"/>
      <protection hidden="1"/>
    </xf>
    <xf numFmtId="0" fontId="4" fillId="15" borderId="0" xfId="0" applyFont="1" applyFill="1" applyBorder="1" applyAlignment="1" applyProtection="1">
      <alignment horizontal="left" vertical="center" wrapText="1"/>
      <protection hidden="1"/>
    </xf>
    <xf numFmtId="0" fontId="65" fillId="2" borderId="0" xfId="0" applyFont="1" applyFill="1" applyBorder="1" applyAlignment="1" applyProtection="1">
      <alignment wrapText="1"/>
      <protection hidden="1"/>
    </xf>
    <xf numFmtId="0" fontId="12" fillId="25" borderId="0" xfId="0" applyFont="1" applyFill="1" applyBorder="1" applyAlignment="1" applyProtection="1">
      <alignment wrapText="1"/>
      <protection hidden="1"/>
    </xf>
    <xf numFmtId="0" fontId="12" fillId="18" borderId="0" xfId="0" applyFont="1" applyFill="1" applyBorder="1" applyAlignment="1" applyProtection="1">
      <alignment wrapText="1"/>
      <protection hidden="1"/>
    </xf>
    <xf numFmtId="0" fontId="40" fillId="8" borderId="2" xfId="0" applyFont="1" applyFill="1" applyBorder="1" applyAlignment="1" applyProtection="1">
      <alignment horizontal="center" vertical="center" wrapText="1"/>
      <protection hidden="1"/>
    </xf>
    <xf numFmtId="3" fontId="40" fillId="8" borderId="2" xfId="0" applyNumberFormat="1" applyFont="1" applyFill="1" applyBorder="1" applyAlignment="1" applyProtection="1">
      <alignment horizontal="center" vertical="center" wrapText="1"/>
      <protection hidden="1"/>
    </xf>
    <xf numFmtId="0" fontId="0" fillId="0" borderId="29" xfId="0" applyBorder="1" applyAlignment="1" applyProtection="1">
      <alignment wrapText="1"/>
      <protection hidden="1"/>
    </xf>
    <xf numFmtId="0" fontId="39" fillId="8" borderId="2" xfId="0" applyFont="1" applyFill="1" applyBorder="1" applyAlignment="1" applyProtection="1">
      <alignment horizontal="center" vertical="center" wrapText="1"/>
      <protection hidden="1"/>
    </xf>
    <xf numFmtId="0" fontId="6" fillId="8" borderId="2" xfId="0" applyFont="1" applyFill="1" applyBorder="1" applyAlignment="1" applyProtection="1">
      <alignment horizontal="center" vertical="center" textRotation="90" wrapText="1"/>
      <protection hidden="1"/>
    </xf>
    <xf numFmtId="0" fontId="26" fillId="2" borderId="0" xfId="0" applyFont="1" applyFill="1" applyAlignment="1" applyProtection="1">
      <alignment horizontal="justify" vertical="center" wrapText="1"/>
      <protection hidden="1"/>
    </xf>
    <xf numFmtId="0" fontId="5" fillId="2" borderId="0" xfId="0" applyFont="1" applyFill="1" applyAlignment="1" applyProtection="1">
      <alignment horizontal="justify" vertical="center" wrapText="1"/>
      <protection hidden="1"/>
    </xf>
    <xf numFmtId="0" fontId="28" fillId="2" borderId="0" xfId="0" applyFont="1" applyFill="1" applyAlignment="1" applyProtection="1">
      <alignment horizontal="justify" vertical="center" wrapText="1"/>
      <protection hidden="1"/>
    </xf>
    <xf numFmtId="0" fontId="26" fillId="0" borderId="0" xfId="0" applyFont="1" applyFill="1" applyAlignment="1" applyProtection="1">
      <alignment horizontal="justify" vertical="center" wrapText="1"/>
      <protection hidden="1"/>
    </xf>
    <xf numFmtId="0" fontId="38" fillId="2" borderId="0" xfId="0" applyFont="1" applyFill="1" applyAlignment="1" applyProtection="1">
      <alignment horizontal="right"/>
      <protection hidden="1"/>
    </xf>
    <xf numFmtId="49" fontId="0" fillId="0" borderId="0" xfId="0" applyNumberFormat="1" applyAlignment="1">
      <alignment horizontal="center"/>
    </xf>
    <xf numFmtId="0" fontId="0" fillId="26" borderId="1" xfId="0" applyFill="1" applyBorder="1" applyAlignment="1"/>
    <xf numFmtId="0" fontId="0" fillId="26" borderId="1" xfId="0" applyFont="1" applyFill="1" applyBorder="1" applyAlignment="1"/>
    <xf numFmtId="0" fontId="0" fillId="0" borderId="1" xfId="0" applyFill="1" applyBorder="1" applyAlignment="1"/>
    <xf numFmtId="0" fontId="0" fillId="0" borderId="1" xfId="0" applyBorder="1" applyAlignment="1"/>
    <xf numFmtId="0" fontId="4" fillId="26" borderId="1" xfId="0" applyFont="1" applyFill="1" applyBorder="1" applyAlignment="1">
      <alignment horizontal="left" vertical="center"/>
    </xf>
    <xf numFmtId="49" fontId="4" fillId="0" borderId="0" xfId="0" applyNumberFormat="1" applyFont="1" applyAlignment="1">
      <alignment horizontal="center"/>
    </xf>
    <xf numFmtId="0" fontId="4" fillId="2" borderId="0" xfId="0" applyNumberFormat="1" applyFont="1" applyFill="1" applyProtection="1">
      <protection hidden="1"/>
    </xf>
    <xf numFmtId="4" fontId="12" fillId="25" borderId="0" xfId="0" applyNumberFormat="1" applyFont="1" applyFill="1" applyBorder="1" applyAlignment="1" applyProtection="1">
      <alignment wrapText="1"/>
      <protection hidden="1"/>
    </xf>
    <xf numFmtId="0" fontId="12" fillId="27" borderId="0" xfId="0" applyFont="1" applyFill="1" applyBorder="1" applyAlignment="1" applyProtection="1">
      <alignment wrapText="1"/>
      <protection hidden="1"/>
    </xf>
    <xf numFmtId="165" fontId="4" fillId="2" borderId="2"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horizontal="center" vertical="center" wrapText="1"/>
      <protection locked="0"/>
    </xf>
    <xf numFmtId="10" fontId="4" fillId="2" borderId="2" xfId="0" applyNumberFormat="1" applyFont="1" applyFill="1" applyBorder="1" applyAlignment="1" applyProtection="1">
      <alignment horizontal="center" vertical="center" wrapText="1"/>
      <protection locked="0"/>
    </xf>
    <xf numFmtId="0" fontId="41" fillId="0" borderId="0" xfId="0" applyFont="1" applyAlignment="1" applyProtection="1">
      <alignment horizontal="center"/>
      <protection locked="0"/>
    </xf>
    <xf numFmtId="0" fontId="0" fillId="15" borderId="0" xfId="0" applyFill="1" applyBorder="1" applyAlignment="1" applyProtection="1">
      <alignment horizontal="center" vertical="center" wrapText="1"/>
      <protection locked="0"/>
    </xf>
    <xf numFmtId="0" fontId="0" fillId="2" borderId="10" xfId="0" applyFill="1" applyBorder="1" applyAlignment="1" applyProtection="1">
      <alignment wrapText="1"/>
      <protection locked="0"/>
    </xf>
    <xf numFmtId="0" fontId="4" fillId="15" borderId="9" xfId="0" applyFont="1" applyFill="1" applyBorder="1" applyAlignment="1" applyProtection="1">
      <alignment horizontal="center" vertical="center" wrapText="1"/>
      <protection locked="0"/>
    </xf>
    <xf numFmtId="0" fontId="38" fillId="2" borderId="0" xfId="0" applyFont="1" applyFill="1" applyBorder="1" applyAlignment="1">
      <alignment horizontal="right"/>
    </xf>
    <xf numFmtId="0" fontId="12" fillId="18" borderId="0" xfId="0" applyFont="1" applyFill="1" applyProtection="1">
      <protection hidden="1"/>
    </xf>
    <xf numFmtId="0" fontId="12" fillId="18" borderId="0" xfId="0" applyNumberFormat="1" applyFont="1" applyFill="1" applyAlignment="1" applyProtection="1">
      <alignment wrapText="1"/>
      <protection hidden="1"/>
    </xf>
    <xf numFmtId="0" fontId="28" fillId="18" borderId="0" xfId="0" applyFont="1" applyFill="1" applyProtection="1">
      <protection hidden="1"/>
    </xf>
    <xf numFmtId="0" fontId="12" fillId="19" borderId="0" xfId="0" applyFont="1" applyFill="1" applyAlignment="1" applyProtection="1">
      <alignment wrapText="1"/>
      <protection hidden="1"/>
    </xf>
    <xf numFmtId="0" fontId="32" fillId="2" borderId="0" xfId="0" applyFont="1" applyFill="1" applyBorder="1" applyAlignment="1" applyProtection="1">
      <alignment horizontal="left" vertical="center"/>
      <protection hidden="1"/>
    </xf>
    <xf numFmtId="0" fontId="4" fillId="2" borderId="0" xfId="0" applyFont="1" applyFill="1" applyAlignment="1" applyProtection="1">
      <alignment vertical="center" wrapText="1"/>
      <protection hidden="1"/>
    </xf>
    <xf numFmtId="0" fontId="4" fillId="2" borderId="0" xfId="0" applyFont="1" applyFill="1" applyProtection="1">
      <protection locked="0"/>
    </xf>
    <xf numFmtId="0" fontId="4" fillId="2" borderId="15" xfId="0" applyFont="1" applyFill="1" applyBorder="1" applyProtection="1">
      <protection hidden="1"/>
    </xf>
    <xf numFmtId="0" fontId="4" fillId="2" borderId="0" xfId="0" applyFont="1" applyFill="1" applyAlignment="1" applyProtection="1">
      <alignment horizontal="center"/>
      <protection locked="0"/>
    </xf>
    <xf numFmtId="9" fontId="12" fillId="18" borderId="0" xfId="0" applyNumberFormat="1" applyFont="1" applyFill="1" applyProtection="1">
      <protection hidden="1"/>
    </xf>
    <xf numFmtId="0" fontId="0" fillId="15" borderId="46" xfId="0" applyFill="1" applyBorder="1" applyProtection="1">
      <protection locked="0"/>
    </xf>
    <xf numFmtId="0" fontId="0" fillId="2" borderId="0" xfId="0" applyFill="1" applyAlignment="1" applyProtection="1">
      <alignment horizontal="left"/>
      <protection locked="0"/>
    </xf>
    <xf numFmtId="0" fontId="0" fillId="2" borderId="0" xfId="0" applyFill="1" applyAlignment="1" applyProtection="1">
      <alignment horizontal="center"/>
      <protection locked="0"/>
    </xf>
    <xf numFmtId="0" fontId="0" fillId="2" borderId="2" xfId="0" applyFont="1" applyFill="1" applyBorder="1" applyAlignment="1" applyProtection="1">
      <alignment vertical="center"/>
      <protection locked="0"/>
    </xf>
    <xf numFmtId="0" fontId="0" fillId="2" borderId="2" xfId="0" applyFont="1" applyFill="1" applyBorder="1" applyAlignment="1" applyProtection="1">
      <alignment vertical="center" wrapText="1"/>
      <protection locked="0"/>
    </xf>
    <xf numFmtId="49" fontId="0" fillId="2" borderId="2" xfId="0" applyNumberFormat="1" applyFont="1" applyFill="1" applyBorder="1" applyAlignment="1" applyProtection="1">
      <alignment vertical="center" wrapText="1"/>
      <protection locked="0"/>
    </xf>
    <xf numFmtId="49" fontId="0" fillId="2" borderId="2" xfId="0" applyNumberFormat="1" applyFont="1" applyFill="1" applyBorder="1" applyAlignment="1" applyProtection="1">
      <alignment vertical="center"/>
      <protection locked="0"/>
    </xf>
    <xf numFmtId="14" fontId="0" fillId="2" borderId="2" xfId="0" applyNumberFormat="1" applyFont="1" applyFill="1" applyBorder="1" applyAlignment="1" applyProtection="1">
      <alignment vertical="center" wrapText="1"/>
      <protection locked="0"/>
    </xf>
    <xf numFmtId="49" fontId="0" fillId="0" borderId="2" xfId="0" applyNumberFormat="1" applyFont="1" applyFill="1" applyBorder="1" applyAlignment="1" applyProtection="1">
      <alignment vertical="center" wrapText="1"/>
      <protection locked="0"/>
    </xf>
    <xf numFmtId="49" fontId="0" fillId="0" borderId="2" xfId="0" applyNumberFormat="1" applyFont="1" applyFill="1" applyBorder="1" applyAlignment="1" applyProtection="1">
      <alignment horizontal="center" vertical="center" wrapText="1"/>
      <protection locked="0"/>
    </xf>
    <xf numFmtId="49" fontId="0" fillId="3" borderId="2" xfId="0" applyNumberFormat="1" applyFont="1" applyFill="1" applyBorder="1" applyAlignment="1" applyProtection="1">
      <alignment vertical="center" wrapText="1"/>
      <protection locked="0"/>
    </xf>
    <xf numFmtId="0" fontId="0" fillId="2" borderId="14" xfId="0" applyFont="1" applyFill="1" applyBorder="1" applyAlignment="1" applyProtection="1">
      <alignment vertical="top" wrapText="1"/>
      <protection locked="0"/>
    </xf>
    <xf numFmtId="0" fontId="0" fillId="2" borderId="12" xfId="0" applyFont="1" applyFill="1" applyBorder="1" applyAlignment="1" applyProtection="1">
      <alignment vertical="top" wrapText="1"/>
      <protection locked="0"/>
    </xf>
    <xf numFmtId="0" fontId="0" fillId="2" borderId="2" xfId="0" applyFont="1" applyFill="1" applyBorder="1" applyAlignment="1" applyProtection="1">
      <alignment vertical="top" wrapText="1"/>
      <protection locked="0"/>
    </xf>
    <xf numFmtId="0" fontId="0" fillId="2" borderId="2" xfId="0" applyFont="1" applyFill="1" applyBorder="1" applyAlignment="1" applyProtection="1">
      <alignment horizontal="center" vertical="center" wrapText="1"/>
      <protection locked="0"/>
    </xf>
    <xf numFmtId="49" fontId="0" fillId="2" borderId="2" xfId="0" applyNumberFormat="1" applyFont="1" applyFill="1" applyBorder="1" applyAlignment="1" applyProtection="1">
      <alignment horizontal="left" vertical="center" wrapText="1"/>
      <protection locked="0"/>
    </xf>
    <xf numFmtId="49" fontId="4" fillId="0" borderId="2" xfId="0" applyNumberFormat="1" applyFont="1" applyFill="1" applyBorder="1" applyAlignment="1" applyProtection="1">
      <alignment vertical="center" wrapText="1"/>
      <protection locked="0"/>
    </xf>
    <xf numFmtId="0" fontId="0" fillId="16" borderId="49" xfId="0" applyFont="1" applyFill="1" applyBorder="1" applyAlignment="1" applyProtection="1">
      <alignment vertical="center" wrapText="1"/>
      <protection locked="0"/>
    </xf>
    <xf numFmtId="49" fontId="0" fillId="16" borderId="49" xfId="0" applyNumberFormat="1" applyFont="1" applyFill="1" applyBorder="1" applyAlignment="1" applyProtection="1">
      <alignment vertical="center" wrapText="1"/>
      <protection locked="0"/>
    </xf>
    <xf numFmtId="49" fontId="0" fillId="0" borderId="49" xfId="0" applyNumberFormat="1" applyFont="1" applyFill="1" applyBorder="1" applyAlignment="1" applyProtection="1">
      <alignment vertical="center" wrapText="1"/>
      <protection locked="0"/>
    </xf>
    <xf numFmtId="16" fontId="0" fillId="16" borderId="49" xfId="0" applyNumberFormat="1" applyFont="1" applyFill="1" applyBorder="1" applyAlignment="1" applyProtection="1">
      <alignment vertical="center" wrapText="1"/>
      <protection locked="0"/>
    </xf>
    <xf numFmtId="49" fontId="0" fillId="2" borderId="2" xfId="0" applyNumberFormat="1" applyFont="1" applyFill="1" applyBorder="1" applyAlignment="1" applyProtection="1">
      <alignment horizontal="center" vertical="center" wrapText="1"/>
      <protection locked="0"/>
    </xf>
    <xf numFmtId="49" fontId="68" fillId="0" borderId="2" xfId="0" applyNumberFormat="1" applyFont="1" applyFill="1" applyBorder="1" applyAlignment="1" applyProtection="1">
      <alignment vertical="center" wrapText="1"/>
      <protection locked="0"/>
    </xf>
    <xf numFmtId="0" fontId="0" fillId="2" borderId="2" xfId="0" applyFont="1" applyFill="1" applyBorder="1" applyAlignment="1" applyProtection="1">
      <alignment vertical="center" wrapText="1"/>
      <protection locked="0"/>
    </xf>
    <xf numFmtId="4" fontId="0" fillId="2" borderId="2" xfId="0" applyNumberFormat="1" applyFont="1" applyFill="1" applyBorder="1" applyAlignment="1" applyProtection="1">
      <alignment horizontal="right" vertical="center" wrapText="1"/>
      <protection locked="0"/>
    </xf>
    <xf numFmtId="0" fontId="4" fillId="2" borderId="2" xfId="0" applyFont="1" applyFill="1" applyBorder="1" applyAlignment="1" applyProtection="1">
      <alignment vertical="center" wrapText="1"/>
      <protection locked="0"/>
    </xf>
    <xf numFmtId="49" fontId="6" fillId="3" borderId="2" xfId="0" applyNumberFormat="1" applyFont="1" applyFill="1" applyBorder="1" applyAlignment="1" applyProtection="1">
      <alignment horizontal="center" vertical="center" wrapText="1"/>
      <protection locked="0"/>
    </xf>
    <xf numFmtId="0" fontId="0" fillId="2" borderId="12" xfId="0" applyFill="1" applyBorder="1" applyAlignment="1" applyProtection="1">
      <alignment vertical="top" wrapText="1"/>
      <protection locked="0"/>
    </xf>
    <xf numFmtId="0" fontId="0" fillId="2" borderId="10" xfId="0" applyFill="1" applyBorder="1" applyAlignment="1" applyProtection="1">
      <alignment vertical="top" wrapText="1"/>
      <protection locked="0"/>
    </xf>
    <xf numFmtId="0" fontId="0" fillId="2" borderId="14" xfId="0" applyFill="1" applyBorder="1" applyAlignment="1" applyProtection="1">
      <alignment vertical="top" wrapText="1"/>
      <protection locked="0"/>
    </xf>
    <xf numFmtId="0" fontId="0" fillId="2" borderId="2" xfId="0" applyFill="1" applyBorder="1" applyAlignment="1" applyProtection="1">
      <alignment vertical="center" wrapText="1"/>
      <protection locked="0"/>
    </xf>
    <xf numFmtId="49" fontId="0" fillId="2" borderId="2" xfId="0" applyNumberFormat="1" applyFill="1" applyBorder="1" applyAlignment="1" applyProtection="1">
      <alignment vertical="center" wrapText="1"/>
      <protection locked="0"/>
    </xf>
    <xf numFmtId="49" fontId="0" fillId="0" borderId="2" xfId="0" applyNumberFormat="1" applyFill="1" applyBorder="1" applyAlignment="1" applyProtection="1">
      <alignment vertical="center" wrapText="1"/>
      <protection locked="0"/>
    </xf>
    <xf numFmtId="49" fontId="68" fillId="0" borderId="2" xfId="0" applyNumberFormat="1" applyFont="1" applyFill="1" applyBorder="1" applyAlignment="1" applyProtection="1">
      <alignment horizontal="center" vertical="center" wrapText="1"/>
      <protection locked="0"/>
    </xf>
    <xf numFmtId="0" fontId="0" fillId="2" borderId="2" xfId="0" applyFill="1" applyBorder="1" applyAlignment="1" applyProtection="1">
      <alignment horizontal="center" vertical="center" wrapText="1"/>
      <protection locked="0"/>
    </xf>
    <xf numFmtId="0" fontId="68" fillId="2" borderId="2" xfId="0" applyFont="1" applyFill="1" applyBorder="1" applyAlignment="1" applyProtection="1">
      <alignment horizontal="center" vertical="center" wrapText="1"/>
      <protection locked="0"/>
    </xf>
    <xf numFmtId="49" fontId="68" fillId="2" borderId="2" xfId="0" applyNumberFormat="1" applyFont="1" applyFill="1" applyBorder="1" applyAlignment="1" applyProtection="1">
      <alignment horizontal="left" vertical="center" wrapText="1"/>
      <protection locked="0"/>
    </xf>
    <xf numFmtId="4" fontId="71" fillId="2" borderId="2" xfId="0" applyNumberFormat="1" applyFont="1" applyFill="1" applyBorder="1" applyAlignment="1" applyProtection="1">
      <alignment wrapText="1"/>
      <protection locked="0"/>
    </xf>
    <xf numFmtId="49" fontId="69" fillId="2" borderId="2" xfId="0" applyNumberFormat="1" applyFont="1" applyFill="1" applyBorder="1" applyAlignment="1" applyProtection="1">
      <alignment vertical="center" wrapText="1"/>
      <protection locked="0"/>
    </xf>
    <xf numFmtId="4" fontId="71" fillId="0" borderId="2" xfId="0" applyNumberFormat="1" applyFont="1" applyFill="1" applyBorder="1" applyAlignment="1" applyProtection="1">
      <alignment horizontal="right" vertical="center" wrapText="1"/>
      <protection locked="0"/>
    </xf>
    <xf numFmtId="49" fontId="72" fillId="0" borderId="2" xfId="0" applyNumberFormat="1" applyFont="1" applyFill="1" applyBorder="1" applyAlignment="1" applyProtection="1">
      <alignment vertical="center" wrapText="1"/>
      <protection locked="0"/>
    </xf>
    <xf numFmtId="49" fontId="70" fillId="2" borderId="2" xfId="0" applyNumberFormat="1" applyFont="1" applyFill="1" applyBorder="1" applyAlignment="1" applyProtection="1">
      <alignment vertical="center" wrapText="1"/>
      <protection locked="0"/>
    </xf>
    <xf numFmtId="49" fontId="71" fillId="0" borderId="2" xfId="0" applyNumberFormat="1" applyFont="1" applyFill="1" applyBorder="1" applyAlignment="1" applyProtection="1">
      <alignment vertical="center" wrapText="1"/>
      <protection locked="0"/>
    </xf>
    <xf numFmtId="49" fontId="71" fillId="0" borderId="2" xfId="0" applyNumberFormat="1" applyFont="1" applyFill="1" applyBorder="1" applyAlignment="1" applyProtection="1">
      <alignment horizontal="center" vertical="center" wrapText="1"/>
      <protection locked="0"/>
    </xf>
    <xf numFmtId="49" fontId="40" fillId="18" borderId="2" xfId="0" applyNumberFormat="1" applyFont="1" applyFill="1" applyBorder="1" applyAlignment="1" applyProtection="1">
      <alignment vertical="center" wrapText="1"/>
      <protection locked="0"/>
    </xf>
    <xf numFmtId="49" fontId="70" fillId="18" borderId="2" xfId="0" applyNumberFormat="1" applyFont="1" applyFill="1" applyBorder="1" applyAlignment="1" applyProtection="1">
      <alignment vertical="center" wrapText="1"/>
      <protection locked="0"/>
    </xf>
    <xf numFmtId="4" fontId="71" fillId="18" borderId="2" xfId="0" applyNumberFormat="1" applyFont="1" applyFill="1" applyBorder="1" applyAlignment="1" applyProtection="1">
      <alignment horizontal="right" vertical="center" wrapText="1"/>
      <protection locked="0"/>
    </xf>
    <xf numFmtId="4" fontId="71" fillId="18" borderId="2" xfId="0" applyNumberFormat="1" applyFont="1" applyFill="1" applyBorder="1" applyAlignment="1" applyProtection="1">
      <alignment wrapText="1"/>
      <protection locked="0"/>
    </xf>
    <xf numFmtId="49" fontId="68" fillId="2" borderId="2" xfId="0" applyNumberFormat="1" applyFont="1" applyFill="1" applyBorder="1" applyAlignment="1" applyProtection="1">
      <alignment vertical="center" wrapText="1"/>
      <protection locked="0"/>
    </xf>
    <xf numFmtId="49" fontId="40" fillId="30" borderId="2" xfId="0" applyNumberFormat="1" applyFont="1" applyFill="1" applyBorder="1" applyAlignment="1" applyProtection="1">
      <alignment vertical="center" wrapText="1"/>
      <protection locked="0"/>
    </xf>
    <xf numFmtId="49" fontId="69" fillId="30" borderId="2" xfId="0" applyNumberFormat="1" applyFont="1" applyFill="1" applyBorder="1" applyAlignment="1" applyProtection="1">
      <alignment vertical="center" wrapText="1"/>
      <protection locked="0"/>
    </xf>
    <xf numFmtId="49" fontId="70" fillId="30" borderId="2" xfId="0" applyNumberFormat="1" applyFont="1" applyFill="1" applyBorder="1" applyAlignment="1" applyProtection="1">
      <alignment vertical="center" wrapText="1"/>
      <protection locked="0"/>
    </xf>
    <xf numFmtId="49" fontId="71" fillId="30" borderId="2" xfId="0" applyNumberFormat="1" applyFont="1" applyFill="1" applyBorder="1" applyAlignment="1" applyProtection="1">
      <alignment vertical="center" wrapText="1"/>
      <protection locked="0"/>
    </xf>
    <xf numFmtId="4" fontId="71" fillId="30" borderId="2" xfId="0" applyNumberFormat="1" applyFont="1" applyFill="1" applyBorder="1" applyAlignment="1" applyProtection="1">
      <alignment horizontal="right" vertical="center" wrapText="1"/>
      <protection locked="0"/>
    </xf>
    <xf numFmtId="4" fontId="71" fillId="30" borderId="2" xfId="0" applyNumberFormat="1" applyFont="1" applyFill="1" applyBorder="1" applyAlignment="1" applyProtection="1">
      <alignment wrapText="1"/>
      <protection locked="0"/>
    </xf>
    <xf numFmtId="4" fontId="72" fillId="0" borderId="2" xfId="0" applyNumberFormat="1" applyFont="1" applyFill="1" applyBorder="1" applyAlignment="1" applyProtection="1">
      <alignment horizontal="right" vertical="center" wrapText="1"/>
      <protection locked="0"/>
    </xf>
    <xf numFmtId="0" fontId="32" fillId="5" borderId="0" xfId="0" applyFont="1" applyFill="1" applyAlignment="1" applyProtection="1">
      <protection hidden="1"/>
    </xf>
    <xf numFmtId="0" fontId="34" fillId="5" borderId="0" xfId="0" applyFont="1" applyFill="1" applyAlignment="1"/>
    <xf numFmtId="0" fontId="10" fillId="2" borderId="24" xfId="0" applyNumberFormat="1" applyFont="1" applyFill="1" applyBorder="1" applyAlignment="1" applyProtection="1">
      <alignment vertical="center" wrapText="1"/>
      <protection locked="0"/>
    </xf>
    <xf numFmtId="0" fontId="0" fillId="0" borderId="6" xfId="0" applyNumberFormat="1" applyBorder="1" applyAlignment="1" applyProtection="1">
      <alignment vertical="center" wrapText="1"/>
      <protection locked="0"/>
    </xf>
    <xf numFmtId="0" fontId="0" fillId="0" borderId="8" xfId="0" applyNumberFormat="1" applyBorder="1" applyAlignment="1" applyProtection="1">
      <alignment vertical="center" wrapText="1"/>
      <protection locked="0"/>
    </xf>
    <xf numFmtId="0" fontId="0" fillId="15" borderId="44" xfId="0" applyFill="1" applyBorder="1" applyAlignment="1" applyProtection="1">
      <protection locked="0"/>
    </xf>
    <xf numFmtId="0" fontId="0" fillId="0" borderId="45" xfId="0" applyBorder="1" applyAlignment="1" applyProtection="1">
      <protection locked="0"/>
    </xf>
    <xf numFmtId="0" fontId="6" fillId="2" borderId="0" xfId="0" applyFont="1" applyFill="1" applyBorder="1" applyAlignment="1" applyProtection="1">
      <alignment vertical="center" wrapText="1"/>
      <protection hidden="1"/>
    </xf>
    <xf numFmtId="0" fontId="4" fillId="3" borderId="24"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4" fillId="15" borderId="44" xfId="0" applyFont="1" applyFill="1" applyBorder="1" applyAlignment="1" applyProtection="1">
      <protection locked="0"/>
    </xf>
    <xf numFmtId="0" fontId="4" fillId="15" borderId="0" xfId="0" applyFont="1" applyFill="1" applyBorder="1" applyAlignment="1" applyProtection="1">
      <alignment vertical="center" wrapText="1"/>
      <protection hidden="1"/>
    </xf>
    <xf numFmtId="49" fontId="4" fillId="2" borderId="24" xfId="1" applyNumberFormat="1" applyFont="1" applyFill="1" applyBorder="1" applyAlignment="1" applyProtection="1">
      <alignment vertical="center" wrapText="1"/>
      <protection locked="0"/>
    </xf>
    <xf numFmtId="49" fontId="0" fillId="2" borderId="6" xfId="0" applyNumberFormat="1" applyFont="1" applyFill="1" applyBorder="1" applyAlignment="1" applyProtection="1">
      <alignment vertical="center"/>
      <protection locked="0"/>
    </xf>
    <xf numFmtId="49" fontId="0" fillId="2" borderId="8" xfId="0" applyNumberFormat="1" applyFont="1" applyFill="1" applyBorder="1" applyAlignment="1" applyProtection="1">
      <alignment vertical="center"/>
      <protection locked="0"/>
    </xf>
    <xf numFmtId="0" fontId="6" fillId="15" borderId="0" xfId="0" applyFont="1" applyFill="1" applyAlignment="1">
      <alignment horizontal="center" vertical="center"/>
    </xf>
    <xf numFmtId="0" fontId="6" fillId="0" borderId="0" xfId="0" applyFont="1" applyAlignment="1">
      <alignment horizontal="center" vertical="center"/>
    </xf>
    <xf numFmtId="0" fontId="4" fillId="2" borderId="24" xfId="1" applyNumberFormat="1" applyFont="1" applyFill="1" applyBorder="1" applyAlignment="1" applyProtection="1">
      <alignment vertical="center" wrapText="1"/>
      <protection locked="0"/>
    </xf>
    <xf numFmtId="0" fontId="0" fillId="2" borderId="6" xfId="0" applyNumberFormat="1" applyFont="1" applyFill="1" applyBorder="1" applyAlignment="1" applyProtection="1">
      <alignment vertical="center"/>
      <protection locked="0"/>
    </xf>
    <xf numFmtId="0" fontId="0" fillId="2" borderId="8" xfId="0" applyNumberFormat="1" applyFont="1" applyFill="1" applyBorder="1" applyAlignment="1" applyProtection="1">
      <alignment vertical="center"/>
      <protection locked="0"/>
    </xf>
    <xf numFmtId="0" fontId="10" fillId="2" borderId="24" xfId="0" applyFont="1" applyFill="1" applyBorder="1" applyAlignment="1" applyProtection="1">
      <alignment vertical="center" wrapText="1"/>
      <protection locked="0"/>
    </xf>
    <xf numFmtId="0" fontId="0" fillId="0" borderId="6" xfId="0" applyBorder="1" applyAlignment="1" applyProtection="1">
      <alignment vertical="center" wrapText="1"/>
      <protection locked="0"/>
    </xf>
    <xf numFmtId="0" fontId="0" fillId="0" borderId="8" xfId="0" applyBorder="1" applyAlignment="1" applyProtection="1">
      <alignment vertical="center" wrapText="1"/>
      <protection locked="0"/>
    </xf>
    <xf numFmtId="0" fontId="26" fillId="15" borderId="0" xfId="0" applyFont="1" applyFill="1" applyAlignment="1">
      <alignment horizontal="center" wrapText="1"/>
    </xf>
    <xf numFmtId="0" fontId="0" fillId="0" borderId="0" xfId="0" applyAlignment="1">
      <alignment wrapText="1"/>
    </xf>
    <xf numFmtId="0" fontId="6" fillId="3" borderId="24"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6" fillId="5" borderId="30" xfId="0" applyFont="1" applyFill="1" applyBorder="1" applyAlignment="1" applyProtection="1">
      <alignment horizontal="center" vertical="center" wrapText="1"/>
      <protection hidden="1"/>
    </xf>
    <xf numFmtId="0" fontId="36" fillId="5" borderId="0" xfId="0" applyFont="1" applyFill="1" applyBorder="1" applyAlignment="1" applyProtection="1">
      <alignment horizontal="center" vertical="center" wrapText="1"/>
      <protection hidden="1"/>
    </xf>
    <xf numFmtId="0" fontId="34" fillId="5" borderId="0" xfId="0" applyFont="1" applyFill="1" applyBorder="1" applyAlignment="1" applyProtection="1">
      <alignment horizontal="center" vertical="center"/>
      <protection hidden="1"/>
    </xf>
    <xf numFmtId="0" fontId="4" fillId="2" borderId="16" xfId="0" applyFont="1" applyFill="1" applyBorder="1" applyAlignment="1" applyProtection="1">
      <protection hidden="1"/>
    </xf>
    <xf numFmtId="0" fontId="4" fillId="2" borderId="17" xfId="0" applyFont="1" applyFill="1" applyBorder="1" applyAlignment="1" applyProtection="1">
      <protection hidden="1"/>
    </xf>
    <xf numFmtId="0" fontId="4" fillId="2" borderId="26" xfId="0" applyFont="1" applyFill="1" applyBorder="1" applyAlignment="1" applyProtection="1">
      <protection hidden="1"/>
    </xf>
    <xf numFmtId="0" fontId="8" fillId="2" borderId="0" xfId="0" applyFont="1" applyFill="1" applyAlignment="1" applyProtection="1">
      <alignment horizontal="center"/>
      <protection hidden="1"/>
    </xf>
    <xf numFmtId="0" fontId="4" fillId="2" borderId="0" xfId="0" applyFont="1" applyFill="1" applyAlignment="1" applyProtection="1">
      <alignment horizontal="center"/>
      <protection hidden="1"/>
    </xf>
    <xf numFmtId="0" fontId="13" fillId="2" borderId="16" xfId="0" applyFont="1" applyFill="1" applyBorder="1" applyAlignment="1" applyProtection="1">
      <alignment horizontal="left" vertical="center" wrapText="1"/>
      <protection hidden="1"/>
    </xf>
    <xf numFmtId="0" fontId="9" fillId="0" borderId="17" xfId="0" applyFont="1" applyBorder="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35" fillId="5" borderId="25" xfId="0" applyFont="1" applyFill="1" applyBorder="1" applyAlignment="1" applyProtection="1">
      <alignment horizontal="left" vertical="center" wrapText="1"/>
      <protection hidden="1"/>
    </xf>
    <xf numFmtId="0" fontId="0" fillId="0" borderId="31" xfId="0" applyBorder="1" applyAlignment="1" applyProtection="1">
      <protection hidden="1"/>
    </xf>
    <xf numFmtId="0" fontId="35" fillId="5" borderId="30" xfId="0" applyFont="1" applyFill="1" applyBorder="1" applyAlignment="1" applyProtection="1">
      <alignment horizontal="left" vertical="center" wrapText="1"/>
      <protection hidden="1"/>
    </xf>
    <xf numFmtId="0" fontId="0" fillId="0" borderId="31" xfId="0" applyBorder="1" applyAlignment="1" applyProtection="1">
      <alignment horizontal="left" vertical="center" wrapText="1"/>
      <protection hidden="1"/>
    </xf>
    <xf numFmtId="0" fontId="4" fillId="3" borderId="24" xfId="0" applyFont="1" applyFill="1" applyBorder="1" applyAlignment="1" applyProtection="1">
      <alignment vertical="center" wrapText="1"/>
      <protection locked="0"/>
    </xf>
    <xf numFmtId="0" fontId="4" fillId="3" borderId="8" xfId="0" applyFont="1" applyFill="1" applyBorder="1" applyAlignment="1" applyProtection="1">
      <alignment vertical="center" wrapText="1"/>
      <protection locked="0"/>
    </xf>
    <xf numFmtId="0" fontId="0" fillId="0" borderId="0" xfId="0" applyAlignment="1" applyProtection="1">
      <alignment vertical="center" wrapText="1"/>
      <protection hidden="1"/>
    </xf>
    <xf numFmtId="0" fontId="6" fillId="2" borderId="0" xfId="0" applyFont="1" applyFill="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164" fontId="6" fillId="4" borderId="24" xfId="0" applyNumberFormat="1" applyFont="1" applyFill="1" applyBorder="1" applyAlignment="1" applyProtection="1">
      <alignment horizontal="right" vertical="center" wrapText="1" indent="2"/>
      <protection hidden="1"/>
    </xf>
    <xf numFmtId="164" fontId="6" fillId="0" borderId="6" xfId="0" applyNumberFormat="1" applyFont="1" applyBorder="1" applyAlignment="1" applyProtection="1">
      <alignment horizontal="right" vertical="center" wrapText="1" indent="2"/>
      <protection hidden="1"/>
    </xf>
    <xf numFmtId="164" fontId="6" fillId="0" borderId="8" xfId="0" applyNumberFormat="1" applyFont="1" applyBorder="1" applyAlignment="1" applyProtection="1">
      <alignment horizontal="right" vertical="center" wrapText="1" indent="2"/>
      <protection hidden="1"/>
    </xf>
    <xf numFmtId="164" fontId="6" fillId="15" borderId="0" xfId="0" applyNumberFormat="1" applyFont="1" applyFill="1" applyBorder="1" applyAlignment="1" applyProtection="1">
      <alignment horizontal="right" vertical="center" wrapText="1" indent="2"/>
      <protection hidden="1"/>
    </xf>
    <xf numFmtId="49" fontId="34" fillId="2" borderId="0" xfId="0" applyNumberFormat="1" applyFont="1" applyFill="1" applyBorder="1" applyAlignment="1" applyProtection="1">
      <alignment horizontal="center" wrapText="1"/>
      <protection hidden="1"/>
    </xf>
    <xf numFmtId="0" fontId="34" fillId="0" borderId="0" xfId="0" applyFont="1" applyAlignment="1">
      <alignment horizontal="center" wrapText="1"/>
    </xf>
    <xf numFmtId="0" fontId="7" fillId="2" borderId="0" xfId="0" applyFont="1" applyFill="1" applyAlignment="1" applyProtection="1">
      <alignment horizontal="center" vertical="center" wrapText="1"/>
      <protection hidden="1"/>
    </xf>
    <xf numFmtId="0" fontId="4" fillId="2" borderId="0" xfId="0" applyFont="1" applyFill="1" applyAlignment="1" applyProtection="1">
      <alignment horizontal="center" vertical="center" wrapText="1"/>
      <protection hidden="1"/>
    </xf>
    <xf numFmtId="0" fontId="10" fillId="2" borderId="6" xfId="0" applyFont="1" applyFill="1" applyBorder="1" applyAlignment="1" applyProtection="1">
      <alignment vertical="center" wrapText="1"/>
      <protection locked="0"/>
    </xf>
    <xf numFmtId="0" fontId="10" fillId="2" borderId="8" xfId="0" applyFont="1" applyFill="1" applyBorder="1" applyAlignment="1" applyProtection="1">
      <alignment vertical="center" wrapText="1"/>
      <protection locked="0"/>
    </xf>
    <xf numFmtId="0" fontId="5" fillId="2" borderId="0" xfId="0" applyFont="1" applyFill="1" applyBorder="1" applyAlignment="1" applyProtection="1">
      <alignment horizontal="center"/>
      <protection hidden="1"/>
    </xf>
    <xf numFmtId="0" fontId="4" fillId="2" borderId="0" xfId="0" applyFont="1" applyFill="1" applyBorder="1" applyAlignment="1" applyProtection="1">
      <alignment horizontal="center"/>
      <protection hidden="1"/>
    </xf>
    <xf numFmtId="0" fontId="4" fillId="2" borderId="0" xfId="0" applyFont="1" applyFill="1" applyAlignment="1" applyProtection="1">
      <protection hidden="1"/>
    </xf>
    <xf numFmtId="0" fontId="5" fillId="2" borderId="0" xfId="0" applyFont="1" applyFill="1" applyBorder="1" applyAlignment="1" applyProtection="1">
      <alignment horizontal="center" vertical="center"/>
      <protection hidden="1"/>
    </xf>
    <xf numFmtId="0" fontId="4" fillId="2" borderId="0" xfId="0" applyFont="1" applyFill="1" applyBorder="1" applyAlignment="1" applyProtection="1">
      <alignment horizontal="center" vertical="center"/>
      <protection hidden="1"/>
    </xf>
    <xf numFmtId="0" fontId="4" fillId="2" borderId="0" xfId="0" applyFont="1" applyFill="1" applyAlignment="1" applyProtection="1">
      <alignment horizontal="center" vertical="center"/>
      <protection hidden="1"/>
    </xf>
    <xf numFmtId="49" fontId="0" fillId="2" borderId="24" xfId="0" applyNumberFormat="1" applyFont="1" applyFill="1" applyBorder="1" applyAlignment="1" applyProtection="1">
      <protection locked="0"/>
    </xf>
    <xf numFmtId="49" fontId="4" fillId="2" borderId="6" xfId="0" applyNumberFormat="1" applyFont="1" applyFill="1" applyBorder="1" applyAlignment="1" applyProtection="1">
      <protection locked="0"/>
    </xf>
    <xf numFmtId="49" fontId="4" fillId="0" borderId="6" xfId="0" applyNumberFormat="1" applyFont="1" applyBorder="1" applyProtection="1">
      <protection locked="0"/>
    </xf>
    <xf numFmtId="49" fontId="4" fillId="0" borderId="8" xfId="0" applyNumberFormat="1" applyFont="1" applyBorder="1" applyProtection="1">
      <protection locked="0"/>
    </xf>
    <xf numFmtId="0" fontId="5" fillId="2" borderId="5" xfId="0" applyFont="1" applyFill="1" applyBorder="1" applyAlignment="1" applyProtection="1">
      <alignment horizontal="center" vertical="center"/>
      <protection hidden="1"/>
    </xf>
    <xf numFmtId="0" fontId="0" fillId="0" borderId="5" xfId="0" applyBorder="1" applyAlignment="1">
      <alignment horizontal="center" vertical="center"/>
    </xf>
    <xf numFmtId="0" fontId="4" fillId="4" borderId="24" xfId="0" applyFont="1" applyFill="1" applyBorder="1" applyAlignment="1" applyProtection="1">
      <alignment horizontal="center" vertical="center" wrapText="1"/>
      <protection hidden="1"/>
    </xf>
    <xf numFmtId="0" fontId="4" fillId="4" borderId="6" xfId="0" applyFont="1" applyFill="1" applyBorder="1" applyAlignment="1" applyProtection="1">
      <alignment horizontal="center" vertical="center" wrapText="1"/>
      <protection hidden="1"/>
    </xf>
    <xf numFmtId="0" fontId="4" fillId="4" borderId="8" xfId="0" applyFont="1" applyFill="1" applyBorder="1" applyAlignment="1" applyProtection="1">
      <alignment horizontal="center" vertical="center" wrapText="1"/>
      <protection hidden="1"/>
    </xf>
    <xf numFmtId="0" fontId="6" fillId="0" borderId="0" xfId="0" applyFont="1" applyBorder="1" applyAlignment="1" applyProtection="1">
      <alignment horizontal="center" vertical="center" wrapText="1"/>
      <protection hidden="1"/>
    </xf>
    <xf numFmtId="0" fontId="4" fillId="4" borderId="24" xfId="0" applyNumberFormat="1" applyFont="1" applyFill="1" applyBorder="1" applyAlignment="1" applyProtection="1">
      <alignment horizontal="center" vertical="center" wrapText="1"/>
      <protection hidden="1"/>
    </xf>
    <xf numFmtId="0" fontId="4" fillId="4" borderId="6" xfId="0" applyNumberFormat="1" applyFont="1" applyFill="1" applyBorder="1" applyAlignment="1" applyProtection="1">
      <alignment horizontal="center" vertical="center" wrapText="1"/>
      <protection hidden="1"/>
    </xf>
    <xf numFmtId="0" fontId="4" fillId="4" borderId="8" xfId="0" applyNumberFormat="1" applyFont="1" applyFill="1" applyBorder="1" applyAlignment="1" applyProtection="1">
      <alignment horizontal="center" vertical="center" wrapText="1"/>
      <protection hidden="1"/>
    </xf>
    <xf numFmtId="0" fontId="0" fillId="2" borderId="0" xfId="0" applyFill="1" applyBorder="1" applyAlignment="1" applyProtection="1">
      <alignment horizontal="center" vertical="center" wrapText="1"/>
      <protection hidden="1"/>
    </xf>
    <xf numFmtId="0" fontId="0" fillId="4" borderId="6" xfId="0" applyFill="1" applyBorder="1" applyAlignment="1" applyProtection="1">
      <alignment horizontal="center" vertical="center" wrapText="1"/>
      <protection hidden="1"/>
    </xf>
    <xf numFmtId="0" fontId="0" fillId="4" borderId="8" xfId="0" applyFill="1" applyBorder="1" applyAlignment="1" applyProtection="1">
      <alignment horizontal="center" vertical="center" wrapText="1"/>
      <protection hidden="1"/>
    </xf>
    <xf numFmtId="0" fontId="4" fillId="15" borderId="0" xfId="0" applyFont="1" applyFill="1" applyBorder="1" applyAlignment="1" applyProtection="1">
      <alignment wrapText="1"/>
      <protection hidden="1"/>
    </xf>
    <xf numFmtId="0" fontId="4" fillId="3" borderId="6" xfId="0" applyFont="1" applyFill="1" applyBorder="1" applyAlignment="1" applyProtection="1">
      <alignment vertical="center" wrapText="1"/>
      <protection locked="0"/>
    </xf>
    <xf numFmtId="0" fontId="4" fillId="2" borderId="0" xfId="0" applyFont="1" applyFill="1" applyBorder="1" applyAlignment="1" applyProtection="1">
      <alignment horizontal="center" vertical="center" wrapText="1"/>
      <protection hidden="1"/>
    </xf>
    <xf numFmtId="0" fontId="0" fillId="0" borderId="0" xfId="0" applyAlignment="1">
      <alignment vertical="center" wrapText="1"/>
    </xf>
    <xf numFmtId="0" fontId="34" fillId="2" borderId="0" xfId="0" applyFont="1" applyFill="1" applyBorder="1" applyAlignment="1" applyProtection="1">
      <alignment horizontal="center" wrapText="1"/>
      <protection hidden="1"/>
    </xf>
    <xf numFmtId="0" fontId="34" fillId="0" borderId="0" xfId="0" applyFont="1" applyAlignment="1" applyProtection="1">
      <alignment horizontal="center" wrapText="1"/>
      <protection hidden="1"/>
    </xf>
    <xf numFmtId="0" fontId="4" fillId="4" borderId="24" xfId="0" applyFont="1" applyFill="1" applyBorder="1" applyAlignment="1" applyProtection="1">
      <alignment vertical="center" wrapText="1"/>
      <protection hidden="1"/>
    </xf>
    <xf numFmtId="0" fontId="0" fillId="0" borderId="6" xfId="0" applyBorder="1" applyAlignment="1">
      <alignment vertical="center" wrapText="1"/>
    </xf>
    <xf numFmtId="0" fontId="0" fillId="0" borderId="8" xfId="0" applyBorder="1" applyAlignment="1">
      <alignment vertical="center" wrapText="1"/>
    </xf>
    <xf numFmtId="0" fontId="0" fillId="0" borderId="0" xfId="0" applyAlignment="1" applyProtection="1">
      <protection hidden="1"/>
    </xf>
    <xf numFmtId="0" fontId="0" fillId="0" borderId="6" xfId="0" applyNumberFormat="1" applyBorder="1" applyAlignment="1" applyProtection="1">
      <alignment horizontal="center" vertical="center" wrapText="1"/>
      <protection hidden="1"/>
    </xf>
    <xf numFmtId="0" fontId="0" fillId="0" borderId="8" xfId="0" applyNumberFormat="1" applyBorder="1" applyAlignment="1" applyProtection="1">
      <alignment horizontal="center" vertical="center" wrapText="1"/>
      <protection hidden="1"/>
    </xf>
    <xf numFmtId="49" fontId="4" fillId="2" borderId="24" xfId="0" applyNumberFormat="1" applyFont="1" applyFill="1" applyBorder="1" applyAlignment="1" applyProtection="1">
      <alignment horizontal="center" vertical="center" wrapText="1"/>
      <protection locked="0"/>
    </xf>
    <xf numFmtId="49" fontId="4" fillId="2" borderId="6" xfId="0" applyNumberFormat="1" applyFont="1" applyFill="1" applyBorder="1" applyAlignment="1" applyProtection="1">
      <alignment horizontal="center" vertical="center" wrapText="1"/>
      <protection locked="0"/>
    </xf>
    <xf numFmtId="49" fontId="4" fillId="2" borderId="8" xfId="0" applyNumberFormat="1" applyFont="1" applyFill="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17" fillId="0" borderId="0" xfId="0" applyFont="1" applyFill="1" applyBorder="1" applyAlignment="1" applyProtection="1">
      <alignment vertical="center" wrapText="1"/>
      <protection hidden="1"/>
    </xf>
    <xf numFmtId="0" fontId="18" fillId="0" borderId="0" xfId="0" applyFont="1" applyFill="1" applyAlignment="1" applyProtection="1">
      <alignment vertical="center" wrapText="1"/>
      <protection hidden="1"/>
    </xf>
    <xf numFmtId="0" fontId="0" fillId="0" borderId="0" xfId="0" applyFill="1" applyAlignment="1" applyProtection="1">
      <alignment vertical="center" wrapText="1"/>
      <protection hidden="1"/>
    </xf>
    <xf numFmtId="49" fontId="0" fillId="2" borderId="24" xfId="0" applyNumberFormat="1" applyFont="1" applyFill="1" applyBorder="1" applyAlignment="1" applyProtection="1">
      <alignment horizontal="center" vertical="center" wrapText="1"/>
      <protection locked="0"/>
    </xf>
    <xf numFmtId="0" fontId="0" fillId="0" borderId="0" xfId="0" applyAlignment="1" applyProtection="1">
      <alignment wrapText="1"/>
      <protection hidden="1"/>
    </xf>
    <xf numFmtId="0" fontId="4" fillId="4" borderId="24" xfId="0" applyNumberFormat="1" applyFont="1" applyFill="1" applyBorder="1" applyAlignment="1" applyProtection="1">
      <alignment vertical="center" wrapText="1"/>
      <protection hidden="1"/>
    </xf>
    <xf numFmtId="0" fontId="17" fillId="2" borderId="0" xfId="0" applyFont="1" applyFill="1" applyBorder="1" applyAlignment="1" applyProtection="1">
      <alignment vertical="center" wrapText="1"/>
      <protection hidden="1"/>
    </xf>
    <xf numFmtId="0" fontId="18" fillId="0" borderId="0" xfId="0" applyFont="1" applyAlignment="1" applyProtection="1">
      <alignment vertical="center" wrapText="1"/>
      <protection hidden="1"/>
    </xf>
    <xf numFmtId="0" fontId="0" fillId="4" borderId="6" xfId="0" applyFill="1" applyBorder="1" applyAlignment="1" applyProtection="1">
      <alignment wrapText="1"/>
      <protection hidden="1"/>
    </xf>
    <xf numFmtId="0" fontId="0" fillId="4" borderId="8" xfId="0" applyFill="1" applyBorder="1" applyAlignment="1" applyProtection="1">
      <alignment wrapText="1"/>
      <protection hidden="1"/>
    </xf>
    <xf numFmtId="0" fontId="6" fillId="2" borderId="3" xfId="0" applyFont="1" applyFill="1" applyBorder="1" applyAlignment="1" applyProtection="1">
      <alignment vertical="center" wrapText="1"/>
      <protection hidden="1"/>
    </xf>
    <xf numFmtId="0" fontId="0" fillId="0" borderId="0" xfId="0" applyAlignment="1"/>
    <xf numFmtId="0" fontId="54" fillId="2" borderId="0" xfId="0" applyFont="1" applyFill="1" applyBorder="1" applyAlignment="1" applyProtection="1">
      <alignment vertical="center" wrapText="1"/>
      <protection hidden="1"/>
    </xf>
    <xf numFmtId="0" fontId="55" fillId="0" borderId="0" xfId="0" applyFont="1" applyAlignment="1">
      <alignment vertical="center" wrapText="1"/>
    </xf>
    <xf numFmtId="0" fontId="55" fillId="0" borderId="0" xfId="0" applyFont="1" applyAlignment="1">
      <alignment vertical="center"/>
    </xf>
    <xf numFmtId="0" fontId="0" fillId="3" borderId="8" xfId="0" applyFill="1" applyBorder="1" applyAlignment="1" applyProtection="1">
      <alignment horizontal="center" vertical="center" wrapText="1"/>
      <protection locked="0"/>
    </xf>
    <xf numFmtId="49" fontId="0" fillId="2" borderId="24" xfId="1" applyNumberFormat="1" applyFont="1" applyFill="1" applyBorder="1" applyAlignment="1" applyProtection="1">
      <alignment vertical="center" wrapText="1"/>
      <protection locked="0"/>
    </xf>
    <xf numFmtId="0" fontId="19" fillId="2" borderId="0" xfId="0" applyFont="1" applyFill="1" applyBorder="1" applyAlignment="1" applyProtection="1">
      <alignment vertical="center" wrapText="1"/>
      <protection hidden="1"/>
    </xf>
    <xf numFmtId="0" fontId="16" fillId="0" borderId="0" xfId="0" applyFont="1" applyAlignment="1">
      <alignment vertical="center" wrapText="1"/>
    </xf>
    <xf numFmtId="0" fontId="16" fillId="0" borderId="0" xfId="0" applyFont="1" applyAlignment="1">
      <alignment vertical="center"/>
    </xf>
    <xf numFmtId="0" fontId="4" fillId="2" borderId="3" xfId="0" applyFont="1" applyFill="1" applyBorder="1" applyAlignment="1" applyProtection="1">
      <alignment vertical="center" wrapText="1"/>
      <protection hidden="1"/>
    </xf>
    <xf numFmtId="0" fontId="13" fillId="2" borderId="0" xfId="0" applyFont="1" applyFill="1" applyBorder="1" applyAlignment="1" applyProtection="1">
      <alignment vertical="center" wrapText="1"/>
      <protection hidden="1"/>
    </xf>
    <xf numFmtId="0" fontId="0" fillId="2" borderId="24" xfId="0" applyFont="1" applyFill="1" applyBorder="1" applyAlignment="1" applyProtection="1">
      <alignment vertical="center" wrapText="1"/>
      <protection locked="0"/>
    </xf>
    <xf numFmtId="0" fontId="0" fillId="2" borderId="6" xfId="0" applyFill="1" applyBorder="1" applyAlignment="1" applyProtection="1">
      <alignment vertical="center"/>
      <protection locked="0"/>
    </xf>
    <xf numFmtId="0" fontId="0" fillId="2" borderId="8" xfId="0" applyFill="1" applyBorder="1" applyAlignment="1" applyProtection="1">
      <alignment vertical="center"/>
      <protection locked="0"/>
    </xf>
    <xf numFmtId="0" fontId="18" fillId="0" borderId="0" xfId="0" applyFont="1" applyAlignment="1">
      <alignment vertical="center" wrapText="1"/>
    </xf>
    <xf numFmtId="0" fontId="18" fillId="0" borderId="0" xfId="0" applyFont="1" applyAlignment="1">
      <alignment vertical="center"/>
    </xf>
    <xf numFmtId="0" fontId="35" fillId="2" borderId="0" xfId="0" applyFont="1" applyFill="1" applyBorder="1" applyAlignment="1" applyProtection="1">
      <alignment horizontal="center" vertical="center" wrapText="1"/>
      <protection locked="0"/>
    </xf>
    <xf numFmtId="0" fontId="35" fillId="0" borderId="0" xfId="0" applyFont="1" applyAlignment="1">
      <alignment horizontal="center"/>
    </xf>
    <xf numFmtId="0" fontId="6" fillId="0" borderId="0" xfId="0" applyFont="1" applyAlignment="1"/>
    <xf numFmtId="49" fontId="0" fillId="2" borderId="24" xfId="0" applyNumberFormat="1" applyFont="1" applyFill="1" applyBorder="1" applyAlignment="1" applyProtection="1">
      <alignment vertical="center" wrapText="1"/>
      <protection locked="0"/>
    </xf>
    <xf numFmtId="49" fontId="0" fillId="2" borderId="8" xfId="0" applyNumberFormat="1" applyFill="1" applyBorder="1" applyAlignment="1" applyProtection="1">
      <alignment vertical="center" wrapText="1"/>
      <protection locked="0"/>
    </xf>
    <xf numFmtId="0" fontId="4" fillId="2" borderId="6" xfId="0" applyFont="1" applyFill="1" applyBorder="1" applyAlignment="1" applyProtection="1">
      <alignment vertical="center" wrapText="1"/>
      <protection locked="0"/>
    </xf>
    <xf numFmtId="0" fontId="4" fillId="2" borderId="8" xfId="0" applyFont="1" applyFill="1" applyBorder="1" applyAlignment="1" applyProtection="1">
      <alignment vertical="center" wrapText="1"/>
      <protection locked="0"/>
    </xf>
    <xf numFmtId="0" fontId="0" fillId="3" borderId="6" xfId="0" applyFill="1" applyBorder="1" applyAlignment="1" applyProtection="1">
      <alignment horizontal="center" vertical="center" wrapText="1"/>
      <protection locked="0"/>
    </xf>
    <xf numFmtId="0" fontId="12" fillId="0" borderId="9" xfId="0" applyFont="1" applyBorder="1" applyAlignment="1">
      <alignment horizontal="left" vertical="center" wrapText="1" indent="1"/>
    </xf>
    <xf numFmtId="0" fontId="12" fillId="0" borderId="0" xfId="0" applyFont="1" applyBorder="1" applyAlignment="1">
      <alignment horizontal="left" vertical="center" wrapText="1" indent="1"/>
    </xf>
    <xf numFmtId="0" fontId="4" fillId="2" borderId="9" xfId="0" applyFont="1" applyFill="1" applyBorder="1" applyAlignment="1" applyProtection="1">
      <alignment horizontal="center"/>
      <protection hidden="1"/>
    </xf>
    <xf numFmtId="49" fontId="4" fillId="2" borderId="6" xfId="0" applyNumberFormat="1" applyFont="1" applyFill="1" applyBorder="1" applyAlignment="1" applyProtection="1">
      <alignment vertical="center" wrapText="1"/>
      <protection locked="0"/>
    </xf>
    <xf numFmtId="49" fontId="4" fillId="2" borderId="8" xfId="0" applyNumberFormat="1" applyFont="1" applyFill="1" applyBorder="1" applyAlignment="1" applyProtection="1">
      <alignment vertical="center" wrapText="1"/>
      <protection locked="0"/>
    </xf>
    <xf numFmtId="0" fontId="0" fillId="3" borderId="24" xfId="0" applyFont="1" applyFill="1" applyBorder="1" applyAlignment="1" applyProtection="1">
      <alignment horizontal="center" vertical="center" wrapText="1"/>
      <protection locked="0"/>
    </xf>
    <xf numFmtId="0" fontId="4" fillId="2" borderId="24" xfId="0" applyFont="1" applyFill="1" applyBorder="1" applyAlignment="1" applyProtection="1">
      <alignment vertical="center" wrapText="1"/>
      <protection locked="0"/>
    </xf>
    <xf numFmtId="49" fontId="12" fillId="2" borderId="24" xfId="1" applyNumberFormat="1" applyFont="1" applyFill="1" applyBorder="1" applyAlignment="1" applyProtection="1">
      <alignment vertical="center" wrapText="1"/>
      <protection locked="0"/>
    </xf>
    <xf numFmtId="49" fontId="4" fillId="2" borderId="24" xfId="0" applyNumberFormat="1" applyFont="1" applyFill="1" applyBorder="1" applyAlignment="1" applyProtection="1">
      <alignment vertical="center" wrapText="1"/>
      <protection locked="0"/>
    </xf>
    <xf numFmtId="49" fontId="12" fillId="2" borderId="6" xfId="1" applyNumberFormat="1" applyFont="1" applyFill="1" applyBorder="1" applyAlignment="1" applyProtection="1">
      <alignment vertical="center" wrapText="1"/>
      <protection locked="0"/>
    </xf>
    <xf numFmtId="49" fontId="12" fillId="2" borderId="8" xfId="1" applyNumberFormat="1" applyFont="1" applyFill="1" applyBorder="1" applyAlignment="1" applyProtection="1">
      <alignment vertical="center" wrapText="1"/>
      <protection locked="0"/>
    </xf>
    <xf numFmtId="49" fontId="0" fillId="2" borderId="6" xfId="1" applyNumberFormat="1" applyFont="1" applyFill="1" applyBorder="1" applyAlignment="1" applyProtection="1">
      <alignment vertical="center" wrapText="1"/>
      <protection locked="0"/>
    </xf>
    <xf numFmtId="49" fontId="0" fillId="2" borderId="8" xfId="1" applyNumberFormat="1" applyFont="1" applyFill="1" applyBorder="1" applyAlignment="1" applyProtection="1">
      <alignment vertical="center" wrapText="1"/>
      <protection locked="0"/>
    </xf>
    <xf numFmtId="0" fontId="4" fillId="3" borderId="6"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0" fillId="2" borderId="8" xfId="0" applyFill="1" applyBorder="1" applyAlignment="1" applyProtection="1">
      <alignment horizontal="center" vertical="center" wrapText="1"/>
      <protection locked="0"/>
    </xf>
    <xf numFmtId="0" fontId="18" fillId="0" borderId="0" xfId="0" applyFont="1" applyAlignment="1" applyProtection="1">
      <alignment vertical="center"/>
      <protection hidden="1"/>
    </xf>
    <xf numFmtId="0" fontId="0" fillId="0" borderId="6" xfId="0" applyBorder="1" applyProtection="1">
      <protection locked="0"/>
    </xf>
    <xf numFmtId="0" fontId="0" fillId="0" borderId="8" xfId="0" applyBorder="1" applyProtection="1">
      <protection locked="0"/>
    </xf>
    <xf numFmtId="0" fontId="0" fillId="2" borderId="24" xfId="0" applyFont="1" applyFill="1" applyBorder="1" applyAlignment="1" applyProtection="1">
      <alignment horizontal="center" vertical="center" wrapText="1"/>
      <protection locked="0"/>
    </xf>
    <xf numFmtId="4" fontId="6" fillId="4" borderId="32" xfId="0" applyNumberFormat="1" applyFont="1" applyFill="1" applyBorder="1" applyAlignment="1" applyProtection="1">
      <alignment wrapText="1"/>
      <protection hidden="1"/>
    </xf>
    <xf numFmtId="0" fontId="0" fillId="0" borderId="33" xfId="0" applyBorder="1" applyAlignment="1" applyProtection="1">
      <alignment wrapText="1"/>
      <protection hidden="1"/>
    </xf>
    <xf numFmtId="0" fontId="0" fillId="0" borderId="34" xfId="0" applyBorder="1" applyAlignment="1" applyProtection="1">
      <alignment wrapText="1"/>
      <protection hidden="1"/>
    </xf>
    <xf numFmtId="49" fontId="20" fillId="14" borderId="16" xfId="0" applyNumberFormat="1" applyFont="1" applyFill="1" applyBorder="1" applyAlignment="1" applyProtection="1">
      <alignment wrapText="1"/>
      <protection hidden="1"/>
    </xf>
    <xf numFmtId="49" fontId="20" fillId="14" borderId="17" xfId="0" applyNumberFormat="1" applyFont="1" applyFill="1" applyBorder="1" applyAlignment="1" applyProtection="1">
      <alignment wrapText="1"/>
      <protection hidden="1"/>
    </xf>
    <xf numFmtId="49" fontId="20" fillId="14" borderId="18" xfId="0" applyNumberFormat="1" applyFont="1" applyFill="1" applyBorder="1" applyAlignment="1" applyProtection="1">
      <alignment wrapText="1"/>
      <protection hidden="1"/>
    </xf>
    <xf numFmtId="0" fontId="6" fillId="4" borderId="24" xfId="0" applyFont="1" applyFill="1" applyBorder="1" applyAlignment="1" applyProtection="1">
      <alignment wrapText="1"/>
      <protection hidden="1"/>
    </xf>
    <xf numFmtId="0" fontId="0" fillId="0" borderId="8" xfId="0" applyBorder="1" applyAlignment="1">
      <alignment wrapText="1"/>
    </xf>
    <xf numFmtId="49" fontId="20" fillId="14" borderId="16" xfId="0" applyNumberFormat="1" applyFont="1" applyFill="1" applyBorder="1" applyAlignment="1" applyProtection="1">
      <alignment vertical="center" wrapText="1"/>
      <protection hidden="1"/>
    </xf>
    <xf numFmtId="49" fontId="20" fillId="14" borderId="17" xfId="0" applyNumberFormat="1" applyFont="1" applyFill="1" applyBorder="1" applyAlignment="1" applyProtection="1">
      <alignment vertical="center" wrapText="1"/>
      <protection hidden="1"/>
    </xf>
    <xf numFmtId="49" fontId="20" fillId="14" borderId="18" xfId="0" applyNumberFormat="1" applyFont="1" applyFill="1" applyBorder="1" applyAlignment="1" applyProtection="1">
      <alignment vertical="center" wrapText="1"/>
      <protection hidden="1"/>
    </xf>
    <xf numFmtId="0" fontId="20" fillId="2" borderId="2" xfId="0" applyFont="1" applyFill="1" applyBorder="1" applyAlignment="1" applyProtection="1">
      <alignment vertical="center" wrapText="1"/>
      <protection hidden="1"/>
    </xf>
    <xf numFmtId="0" fontId="4" fillId="15" borderId="0" xfId="0" applyFont="1" applyFill="1" applyBorder="1" applyAlignment="1" applyProtection="1">
      <alignment horizontal="center" wrapText="1"/>
      <protection hidden="1"/>
    </xf>
    <xf numFmtId="0" fontId="4" fillId="15" borderId="5" xfId="0" applyFont="1" applyFill="1" applyBorder="1" applyAlignment="1" applyProtection="1">
      <alignment vertical="center" wrapText="1"/>
      <protection hidden="1"/>
    </xf>
    <xf numFmtId="0" fontId="0" fillId="0" borderId="5" xfId="0" applyBorder="1" applyAlignment="1">
      <alignment vertical="center"/>
    </xf>
    <xf numFmtId="0" fontId="0" fillId="2" borderId="2" xfId="0" applyFont="1" applyFill="1" applyBorder="1" applyAlignment="1" applyProtection="1">
      <alignment vertical="center" wrapText="1"/>
      <protection locked="0"/>
    </xf>
    <xf numFmtId="0" fontId="4" fillId="2" borderId="2" xfId="0" applyFont="1" applyFill="1" applyBorder="1" applyAlignment="1" applyProtection="1">
      <alignment vertical="center" wrapText="1"/>
      <protection locked="0"/>
    </xf>
    <xf numFmtId="0" fontId="4" fillId="2" borderId="14" xfId="0" applyFont="1" applyFill="1" applyBorder="1" applyAlignment="1" applyProtection="1">
      <alignment vertical="center" wrapText="1"/>
      <protection hidden="1"/>
    </xf>
    <xf numFmtId="0" fontId="4" fillId="2" borderId="13" xfId="0" applyFont="1" applyFill="1" applyBorder="1" applyAlignment="1" applyProtection="1">
      <alignment vertical="center" wrapText="1"/>
      <protection hidden="1"/>
    </xf>
    <xf numFmtId="0" fontId="32" fillId="5" borderId="0" xfId="0" applyFont="1" applyFill="1" applyAlignment="1" applyProtection="1">
      <alignment horizontal="left"/>
      <protection hidden="1"/>
    </xf>
    <xf numFmtId="0" fontId="0" fillId="15" borderId="5" xfId="0" applyFill="1" applyBorder="1" applyAlignment="1">
      <alignment vertical="center"/>
    </xf>
    <xf numFmtId="0" fontId="6" fillId="2" borderId="0" xfId="0" applyFont="1" applyFill="1" applyBorder="1" applyAlignment="1" applyProtection="1">
      <alignment horizontal="center" wrapText="1"/>
      <protection hidden="1"/>
    </xf>
    <xf numFmtId="0" fontId="6" fillId="4" borderId="6" xfId="0" applyFont="1" applyFill="1" applyBorder="1" applyAlignment="1" applyProtection="1">
      <alignment wrapText="1"/>
      <protection hidden="1"/>
    </xf>
    <xf numFmtId="0" fontId="6" fillId="4" borderId="8" xfId="0" applyFont="1" applyFill="1" applyBorder="1" applyAlignment="1" applyProtection="1">
      <alignment wrapText="1"/>
      <protection hidden="1"/>
    </xf>
    <xf numFmtId="0" fontId="0" fillId="2" borderId="9" xfId="0" applyFill="1" applyBorder="1" applyAlignment="1" applyProtection="1">
      <alignment horizontal="center"/>
      <protection hidden="1"/>
    </xf>
    <xf numFmtId="0" fontId="0" fillId="2" borderId="0" xfId="0" applyFill="1" applyAlignment="1" applyProtection="1">
      <alignment horizontal="center"/>
      <protection hidden="1"/>
    </xf>
    <xf numFmtId="0" fontId="30" fillId="5" borderId="0" xfId="0" applyFont="1" applyFill="1" applyBorder="1" applyAlignment="1" applyProtection="1">
      <alignment horizontal="left" vertical="center"/>
      <protection hidden="1"/>
    </xf>
    <xf numFmtId="0" fontId="0" fillId="0" borderId="0" xfId="0" applyAlignment="1">
      <alignment horizontal="left" vertical="center"/>
    </xf>
    <xf numFmtId="0" fontId="43" fillId="5" borderId="0" xfId="0" applyFont="1" applyFill="1" applyBorder="1" applyAlignment="1" applyProtection="1">
      <alignment horizontal="center" vertical="center"/>
      <protection hidden="1"/>
    </xf>
    <xf numFmtId="0" fontId="0" fillId="0" borderId="0" xfId="0" applyAlignment="1">
      <alignment horizontal="center" vertical="center"/>
    </xf>
    <xf numFmtId="0" fontId="12" fillId="2" borderId="0" xfId="0" applyFont="1" applyFill="1" applyBorder="1" applyAlignment="1" applyProtection="1">
      <alignment horizontal="center" vertical="center" wrapText="1"/>
      <protection hidden="1"/>
    </xf>
    <xf numFmtId="0" fontId="0" fillId="0" borderId="0" xfId="0" applyAlignment="1" applyProtection="1">
      <alignment horizontal="center" wrapText="1"/>
      <protection hidden="1"/>
    </xf>
    <xf numFmtId="0" fontId="12" fillId="2" borderId="32" xfId="0" applyNumberFormat="1" applyFont="1" applyFill="1" applyBorder="1" applyAlignment="1" applyProtection="1">
      <alignment vertical="center" wrapText="1"/>
      <protection locked="0"/>
    </xf>
    <xf numFmtId="0" fontId="0" fillId="0" borderId="33" xfId="0" applyNumberFormat="1" applyBorder="1" applyAlignment="1" applyProtection="1">
      <alignment vertical="center" wrapText="1"/>
      <protection locked="0"/>
    </xf>
    <xf numFmtId="0" fontId="0" fillId="0" borderId="34" xfId="0" applyNumberFormat="1" applyBorder="1" applyAlignment="1" applyProtection="1">
      <alignment vertical="center" wrapText="1"/>
      <protection locked="0"/>
    </xf>
    <xf numFmtId="4" fontId="50" fillId="7" borderId="0" xfId="0" applyNumberFormat="1" applyFont="1" applyFill="1" applyBorder="1" applyAlignment="1" applyProtection="1">
      <alignment vertical="center" wrapText="1"/>
      <protection hidden="1"/>
    </xf>
    <xf numFmtId="0" fontId="50" fillId="7" borderId="0" xfId="0" applyFont="1" applyFill="1" applyAlignment="1" applyProtection="1">
      <alignment vertical="center" wrapText="1"/>
      <protection hidden="1"/>
    </xf>
    <xf numFmtId="0" fontId="12" fillId="2" borderId="0" xfId="0" applyFont="1" applyFill="1" applyBorder="1" applyAlignment="1" applyProtection="1">
      <alignment horizontal="left" vertical="center" wrapText="1" indent="8"/>
      <protection hidden="1"/>
    </xf>
    <xf numFmtId="0" fontId="0" fillId="0" borderId="0" xfId="0" applyAlignment="1" applyProtection="1">
      <alignment horizontal="left" vertical="center" wrapText="1" indent="8"/>
      <protection hidden="1"/>
    </xf>
    <xf numFmtId="0" fontId="68" fillId="2" borderId="32" xfId="0" applyNumberFormat="1" applyFont="1" applyFill="1" applyBorder="1" applyAlignment="1" applyProtection="1">
      <alignment vertical="center" wrapText="1"/>
      <protection locked="0"/>
    </xf>
    <xf numFmtId="0" fontId="35" fillId="2" borderId="0" xfId="0" applyFont="1" applyFill="1" applyBorder="1" applyAlignment="1" applyProtection="1">
      <alignment horizontal="center" vertical="center" wrapText="1"/>
      <protection hidden="1"/>
    </xf>
    <xf numFmtId="0" fontId="35" fillId="0" borderId="0" xfId="0" applyFont="1" applyAlignment="1">
      <alignment horizontal="center" wrapText="1"/>
    </xf>
    <xf numFmtId="0" fontId="6" fillId="28" borderId="24" xfId="0" applyNumberFormat="1" applyFont="1" applyFill="1" applyBorder="1" applyAlignment="1" applyProtection="1">
      <alignment horizontal="center" vertical="center" wrapText="1"/>
      <protection hidden="1"/>
    </xf>
    <xf numFmtId="0" fontId="12" fillId="28" borderId="6" xfId="0" applyNumberFormat="1" applyFont="1" applyFill="1" applyBorder="1" applyAlignment="1" applyProtection="1">
      <alignment horizontal="center" vertical="center" wrapText="1"/>
      <protection hidden="1"/>
    </xf>
    <xf numFmtId="0" fontId="12" fillId="28" borderId="8" xfId="0" applyNumberFormat="1" applyFont="1" applyFill="1" applyBorder="1" applyAlignment="1" applyProtection="1">
      <alignment horizontal="center" vertical="center" wrapText="1"/>
      <protection hidden="1"/>
    </xf>
    <xf numFmtId="0" fontId="45" fillId="6" borderId="6" xfId="0" applyNumberFormat="1" applyFont="1" applyFill="1" applyBorder="1" applyAlignment="1" applyProtection="1">
      <alignment horizontal="center" vertical="center" wrapText="1"/>
      <protection hidden="1"/>
    </xf>
    <xf numFmtId="0" fontId="46" fillId="0" borderId="6" xfId="0" applyFont="1" applyBorder="1" applyAlignment="1">
      <alignment horizontal="center" vertical="center" wrapText="1"/>
    </xf>
    <xf numFmtId="0" fontId="46" fillId="0" borderId="8" xfId="0" applyFont="1" applyBorder="1" applyAlignment="1">
      <alignment horizontal="center" vertical="center" wrapText="1"/>
    </xf>
    <xf numFmtId="0" fontId="45" fillId="6" borderId="24" xfId="0" applyNumberFormat="1" applyFont="1" applyFill="1" applyBorder="1" applyAlignment="1" applyProtection="1">
      <alignment horizontal="center" vertical="center" wrapText="1"/>
      <protection hidden="1"/>
    </xf>
    <xf numFmtId="0" fontId="46" fillId="0" borderId="6" xfId="0" applyNumberFormat="1" applyFont="1" applyBorder="1" applyAlignment="1" applyProtection="1">
      <alignment horizontal="center" vertical="center" wrapText="1"/>
      <protection hidden="1"/>
    </xf>
    <xf numFmtId="0" fontId="46" fillId="0" borderId="8" xfId="0" applyNumberFormat="1" applyFont="1" applyBorder="1" applyAlignment="1" applyProtection="1">
      <alignment horizontal="center" vertical="center" wrapText="1"/>
      <protection hidden="1"/>
    </xf>
    <xf numFmtId="0" fontId="0" fillId="2" borderId="32" xfId="0" applyNumberFormat="1" applyFont="1" applyFill="1" applyBorder="1" applyAlignment="1" applyProtection="1">
      <alignment vertical="center" wrapText="1"/>
      <protection locked="0"/>
    </xf>
    <xf numFmtId="0" fontId="6" fillId="6" borderId="24" xfId="0" applyNumberFormat="1" applyFont="1" applyFill="1" applyBorder="1" applyAlignment="1" applyProtection="1">
      <alignment horizontal="center" vertical="center" wrapText="1"/>
      <protection hidden="1"/>
    </xf>
    <xf numFmtId="0" fontId="12" fillId="0" borderId="6" xfId="0" applyNumberFormat="1" applyFont="1" applyBorder="1" applyAlignment="1" applyProtection="1">
      <alignment horizontal="center" vertical="center" wrapText="1"/>
      <protection hidden="1"/>
    </xf>
    <xf numFmtId="0" fontId="12" fillId="0" borderId="8" xfId="0" applyNumberFormat="1" applyFont="1" applyBorder="1" applyAlignment="1" applyProtection="1">
      <alignment horizontal="center" vertical="center" wrapText="1"/>
      <protection hidden="1"/>
    </xf>
    <xf numFmtId="0" fontId="51" fillId="4" borderId="24" xfId="0" applyNumberFormat="1" applyFont="1" applyFill="1" applyBorder="1" applyAlignment="1" applyProtection="1">
      <alignment horizontal="center" vertical="center" wrapText="1"/>
      <protection hidden="1"/>
    </xf>
    <xf numFmtId="0" fontId="52" fillId="4" borderId="6" xfId="0" applyNumberFormat="1" applyFont="1" applyFill="1" applyBorder="1" applyAlignment="1" applyProtection="1">
      <alignment horizontal="center" vertical="center" wrapText="1"/>
      <protection hidden="1"/>
    </xf>
    <xf numFmtId="0" fontId="52" fillId="4" borderId="8" xfId="0" applyNumberFormat="1" applyFont="1" applyFill="1" applyBorder="1" applyAlignment="1" applyProtection="1">
      <alignment horizontal="center" vertical="center" wrapText="1"/>
      <protection hidden="1"/>
    </xf>
    <xf numFmtId="0" fontId="66" fillId="6" borderId="24" xfId="0" applyNumberFormat="1" applyFont="1" applyFill="1" applyBorder="1" applyAlignment="1" applyProtection="1">
      <alignment horizontal="center" vertical="center" wrapText="1"/>
      <protection hidden="1"/>
    </xf>
    <xf numFmtId="0" fontId="65" fillId="0" borderId="6" xfId="0" applyNumberFormat="1" applyFont="1" applyBorder="1" applyAlignment="1" applyProtection="1">
      <alignment horizontal="center" vertical="center" wrapText="1"/>
      <protection hidden="1"/>
    </xf>
    <xf numFmtId="0" fontId="65" fillId="0" borderId="8" xfId="0" applyNumberFormat="1" applyFont="1" applyBorder="1" applyAlignment="1" applyProtection="1">
      <alignment horizontal="center" vertical="center" wrapText="1"/>
      <protection hidden="1"/>
    </xf>
    <xf numFmtId="4" fontId="50" fillId="7" borderId="44" xfId="0" applyNumberFormat="1" applyFont="1" applyFill="1" applyBorder="1" applyAlignment="1" applyProtection="1">
      <alignment vertical="center" wrapText="1"/>
      <protection hidden="1"/>
    </xf>
    <xf numFmtId="4" fontId="50" fillId="7" borderId="51" xfId="0" applyNumberFormat="1" applyFont="1" applyFill="1" applyBorder="1" applyAlignment="1" applyProtection="1">
      <alignment vertical="center" wrapText="1"/>
      <protection hidden="1"/>
    </xf>
    <xf numFmtId="4" fontId="50" fillId="7" borderId="45" xfId="0" applyNumberFormat="1" applyFont="1" applyFill="1" applyBorder="1" applyAlignment="1" applyProtection="1">
      <alignment vertical="center" wrapText="1"/>
      <protection hidden="1"/>
    </xf>
    <xf numFmtId="0" fontId="6" fillId="0" borderId="0" xfId="0" applyFont="1" applyAlignment="1">
      <alignment horizontal="center" wrapText="1"/>
    </xf>
    <xf numFmtId="0" fontId="20" fillId="19" borderId="24" xfId="0" applyNumberFormat="1" applyFont="1" applyFill="1" applyBorder="1" applyAlignment="1" applyProtection="1">
      <alignment horizontal="center" vertical="center" wrapText="1"/>
      <protection locked="0"/>
    </xf>
    <xf numFmtId="0" fontId="12" fillId="19" borderId="6" xfId="0" applyNumberFormat="1" applyFont="1" applyFill="1" applyBorder="1" applyAlignment="1" applyProtection="1">
      <alignment horizontal="center" vertical="center" wrapText="1"/>
      <protection locked="0"/>
    </xf>
    <xf numFmtId="0" fontId="12" fillId="19" borderId="8" xfId="0" applyNumberFormat="1" applyFont="1" applyFill="1" applyBorder="1" applyAlignment="1" applyProtection="1">
      <alignment horizontal="center" vertical="center" wrapText="1"/>
      <protection locked="0"/>
    </xf>
    <xf numFmtId="0" fontId="28" fillId="2" borderId="0" xfId="0" applyNumberFormat="1" applyFont="1" applyFill="1" applyBorder="1" applyAlignment="1" applyProtection="1">
      <alignment horizontal="center" vertical="center" wrapText="1"/>
      <protection hidden="1"/>
    </xf>
    <xf numFmtId="0" fontId="28" fillId="0" borderId="0" xfId="0" applyNumberFormat="1" applyFont="1" applyAlignment="1">
      <alignment horizontal="center" wrapText="1"/>
    </xf>
    <xf numFmtId="0" fontId="4" fillId="2" borderId="32" xfId="0" applyNumberFormat="1" applyFont="1" applyFill="1" applyBorder="1" applyAlignment="1" applyProtection="1">
      <alignment vertical="center" wrapText="1"/>
      <protection locked="0"/>
    </xf>
    <xf numFmtId="0" fontId="20" fillId="6" borderId="24" xfId="0" applyNumberFormat="1" applyFont="1" applyFill="1" applyBorder="1" applyAlignment="1" applyProtection="1">
      <alignment horizontal="center" vertical="center" wrapText="1"/>
      <protection hidden="1"/>
    </xf>
    <xf numFmtId="0" fontId="60" fillId="6" borderId="24" xfId="0" applyNumberFormat="1" applyFont="1" applyFill="1" applyBorder="1" applyAlignment="1" applyProtection="1">
      <alignment horizontal="center" vertical="center" wrapText="1"/>
      <protection hidden="1"/>
    </xf>
    <xf numFmtId="0" fontId="60" fillId="0" borderId="6" xfId="0" applyNumberFormat="1" applyFont="1" applyBorder="1" applyAlignment="1" applyProtection="1">
      <alignment horizontal="center" vertical="center" wrapText="1"/>
      <protection hidden="1"/>
    </xf>
    <xf numFmtId="0" fontId="60" fillId="0" borderId="8" xfId="0" applyNumberFormat="1" applyFont="1" applyBorder="1" applyAlignment="1" applyProtection="1">
      <alignment horizontal="center" vertical="center" wrapText="1"/>
      <protection hidden="1"/>
    </xf>
    <xf numFmtId="0" fontId="0" fillId="0" borderId="0" xfId="0" applyAlignment="1" applyProtection="1">
      <alignment horizontal="left" wrapText="1" indent="8"/>
      <protection hidden="1"/>
    </xf>
    <xf numFmtId="0" fontId="27" fillId="2" borderId="0" xfId="0" applyFont="1" applyFill="1" applyBorder="1" applyAlignment="1" applyProtection="1">
      <alignment horizontal="center" vertical="center" wrapText="1"/>
      <protection hidden="1"/>
    </xf>
    <xf numFmtId="0" fontId="0" fillId="0" borderId="0" xfId="0" applyAlignment="1">
      <alignment horizontal="center" wrapText="1"/>
    </xf>
    <xf numFmtId="0" fontId="0" fillId="2" borderId="32" xfId="0" applyNumberFormat="1" applyFill="1" applyBorder="1" applyAlignment="1" applyProtection="1">
      <alignment vertical="center" wrapText="1"/>
      <protection locked="0"/>
    </xf>
    <xf numFmtId="0" fontId="71" fillId="0" borderId="32" xfId="0" applyNumberFormat="1" applyFont="1" applyFill="1" applyBorder="1" applyAlignment="1" applyProtection="1">
      <alignment vertical="center" wrapText="1"/>
      <protection locked="0"/>
    </xf>
    <xf numFmtId="0" fontId="71" fillId="0" borderId="33" xfId="0" applyNumberFormat="1" applyFont="1" applyFill="1" applyBorder="1" applyAlignment="1" applyProtection="1">
      <alignment vertical="center" wrapText="1"/>
      <protection locked="0"/>
    </xf>
    <xf numFmtId="0" fontId="71" fillId="0" borderId="34" xfId="0" applyNumberFormat="1" applyFont="1" applyFill="1" applyBorder="1" applyAlignment="1" applyProtection="1">
      <alignment vertical="center" wrapText="1"/>
      <protection locked="0"/>
    </xf>
    <xf numFmtId="0" fontId="71" fillId="30" borderId="32" xfId="0" applyNumberFormat="1" applyFont="1" applyFill="1" applyBorder="1" applyAlignment="1" applyProtection="1">
      <alignment vertical="center" wrapText="1"/>
      <protection locked="0"/>
    </xf>
    <xf numFmtId="0" fontId="71" fillId="30" borderId="33" xfId="0" applyNumberFormat="1" applyFont="1" applyFill="1" applyBorder="1" applyAlignment="1" applyProtection="1">
      <alignment vertical="center" wrapText="1"/>
      <protection locked="0"/>
    </xf>
    <xf numFmtId="0" fontId="71" fillId="30" borderId="34" xfId="0" applyNumberFormat="1" applyFont="1" applyFill="1" applyBorder="1" applyAlignment="1" applyProtection="1">
      <alignment vertical="center" wrapText="1"/>
      <protection locked="0"/>
    </xf>
    <xf numFmtId="0" fontId="68" fillId="0" borderId="32" xfId="0" applyNumberFormat="1" applyFont="1" applyFill="1" applyBorder="1" applyAlignment="1" applyProtection="1">
      <alignment vertical="center" wrapText="1"/>
      <protection locked="0"/>
    </xf>
    <xf numFmtId="0" fontId="68" fillId="0" borderId="33" xfId="0" applyNumberFormat="1" applyFont="1" applyFill="1" applyBorder="1" applyAlignment="1" applyProtection="1">
      <alignment vertical="center" wrapText="1"/>
      <protection locked="0"/>
    </xf>
    <xf numFmtId="0" fontId="68" fillId="0" borderId="34" xfId="0" applyNumberFormat="1" applyFont="1" applyFill="1" applyBorder="1" applyAlignment="1" applyProtection="1">
      <alignment vertical="center" wrapText="1"/>
      <protection locked="0"/>
    </xf>
    <xf numFmtId="0" fontId="51" fillId="4" borderId="6" xfId="0" applyNumberFormat="1" applyFont="1" applyFill="1" applyBorder="1" applyAlignment="1" applyProtection="1">
      <alignment horizontal="center" vertical="center" wrapText="1"/>
      <protection hidden="1"/>
    </xf>
    <xf numFmtId="0" fontId="51" fillId="4" borderId="8" xfId="0" applyNumberFormat="1" applyFont="1" applyFill="1" applyBorder="1" applyAlignment="1" applyProtection="1">
      <alignment horizontal="center" vertical="center" wrapText="1"/>
      <protection hidden="1"/>
    </xf>
    <xf numFmtId="0" fontId="28" fillId="2" borderId="0" xfId="3" applyNumberFormat="1" applyFont="1" applyFill="1" applyBorder="1" applyAlignment="1" applyProtection="1">
      <alignment horizontal="center" vertical="center" wrapText="1"/>
      <protection hidden="1"/>
    </xf>
    <xf numFmtId="0" fontId="28" fillId="0" borderId="0" xfId="3" applyNumberFormat="1" applyFont="1" applyAlignment="1">
      <alignment horizontal="center" wrapText="1"/>
    </xf>
    <xf numFmtId="0" fontId="20" fillId="4" borderId="24" xfId="0" applyFont="1" applyFill="1" applyBorder="1" applyAlignment="1" applyProtection="1">
      <alignment horizontal="left" vertical="center" wrapText="1"/>
      <protection hidden="1"/>
    </xf>
    <xf numFmtId="0" fontId="12" fillId="4" borderId="8" xfId="0" applyFont="1" applyFill="1" applyBorder="1" applyAlignment="1" applyProtection="1">
      <protection hidden="1"/>
    </xf>
    <xf numFmtId="0" fontId="12" fillId="2" borderId="0" xfId="0" applyFont="1" applyFill="1" applyBorder="1" applyAlignment="1" applyProtection="1">
      <alignment wrapText="1"/>
      <protection hidden="1"/>
    </xf>
    <xf numFmtId="4" fontId="6" fillId="4" borderId="24" xfId="0" applyNumberFormat="1" applyFont="1" applyFill="1" applyBorder="1" applyAlignment="1" applyProtection="1">
      <alignment wrapText="1"/>
      <protection hidden="1"/>
    </xf>
    <xf numFmtId="0" fontId="20" fillId="6" borderId="24" xfId="0" applyFont="1" applyFill="1" applyBorder="1" applyAlignment="1" applyProtection="1">
      <alignment horizontal="center" vertical="center" wrapText="1"/>
      <protection hidden="1"/>
    </xf>
    <xf numFmtId="0" fontId="12" fillId="6" borderId="6" xfId="0" applyFont="1" applyFill="1" applyBorder="1" applyAlignment="1" applyProtection="1">
      <alignment wrapText="1"/>
      <protection hidden="1"/>
    </xf>
    <xf numFmtId="0" fontId="12" fillId="6" borderId="8" xfId="0" applyFont="1" applyFill="1" applyBorder="1" applyAlignment="1" applyProtection="1">
      <alignment wrapText="1"/>
      <protection hidden="1"/>
    </xf>
    <xf numFmtId="0" fontId="20" fillId="6" borderId="13" xfId="0" applyFont="1" applyFill="1" applyBorder="1" applyAlignment="1" applyProtection="1">
      <alignment horizontal="center" vertical="center"/>
      <protection hidden="1"/>
    </xf>
    <xf numFmtId="0" fontId="12" fillId="6" borderId="11" xfId="0" applyFont="1" applyFill="1" applyBorder="1" applyAlignment="1" applyProtection="1">
      <protection hidden="1"/>
    </xf>
    <xf numFmtId="0" fontId="12" fillId="6" borderId="35" xfId="0" applyFont="1" applyFill="1" applyBorder="1" applyAlignment="1" applyProtection="1">
      <protection hidden="1"/>
    </xf>
    <xf numFmtId="0" fontId="12" fillId="6" borderId="7" xfId="0" applyFont="1" applyFill="1" applyBorder="1" applyAlignment="1" applyProtection="1">
      <protection hidden="1"/>
    </xf>
    <xf numFmtId="0" fontId="0" fillId="0" borderId="6" xfId="0" applyBorder="1" applyAlignment="1" applyProtection="1">
      <alignment wrapText="1"/>
      <protection hidden="1"/>
    </xf>
    <xf numFmtId="0" fontId="0" fillId="0" borderId="8" xfId="0" applyBorder="1" applyAlignment="1" applyProtection="1">
      <alignment wrapText="1"/>
      <protection hidden="1"/>
    </xf>
    <xf numFmtId="0" fontId="12" fillId="2" borderId="0" xfId="0" applyFont="1" applyFill="1" applyBorder="1" applyAlignment="1" applyProtection="1">
      <alignment horizontal="center" wrapText="1"/>
      <protection hidden="1"/>
    </xf>
    <xf numFmtId="0" fontId="20" fillId="4" borderId="24" xfId="0" applyFont="1" applyFill="1" applyBorder="1" applyAlignment="1" applyProtection="1">
      <alignment horizontal="center" vertical="center" wrapText="1"/>
      <protection hidden="1"/>
    </xf>
    <xf numFmtId="0" fontId="12" fillId="4" borderId="8" xfId="0" applyFont="1" applyFill="1" applyBorder="1" applyAlignment="1" applyProtection="1">
      <alignment horizontal="center" vertical="center"/>
      <protection hidden="1"/>
    </xf>
    <xf numFmtId="0" fontId="2" fillId="2" borderId="25" xfId="0" applyFont="1" applyFill="1" applyBorder="1" applyAlignment="1" applyProtection="1">
      <alignment horizontal="left" wrapText="1"/>
      <protection hidden="1"/>
    </xf>
    <xf numFmtId="0" fontId="0" fillId="0" borderId="31" xfId="0" applyBorder="1" applyAlignment="1">
      <alignment wrapText="1"/>
    </xf>
    <xf numFmtId="0" fontId="2" fillId="2" borderId="36" xfId="0" applyFont="1" applyFill="1" applyBorder="1" applyAlignment="1" applyProtection="1">
      <alignment horizontal="left" wrapText="1"/>
      <protection hidden="1"/>
    </xf>
    <xf numFmtId="0" fontId="2" fillId="2" borderId="21" xfId="0" applyFont="1" applyFill="1" applyBorder="1" applyAlignment="1" applyProtection="1">
      <alignment horizontal="left" wrapText="1"/>
      <protection hidden="1"/>
    </xf>
    <xf numFmtId="0" fontId="0" fillId="0" borderId="20" xfId="0" applyBorder="1" applyAlignment="1">
      <alignment wrapText="1"/>
    </xf>
    <xf numFmtId="0" fontId="2" fillId="2" borderId="37" xfId="0" applyFont="1" applyFill="1" applyBorder="1" applyAlignment="1" applyProtection="1">
      <alignment horizontal="left" wrapText="1"/>
      <protection hidden="1"/>
    </xf>
    <xf numFmtId="0" fontId="2" fillId="2" borderId="38" xfId="0" applyFont="1" applyFill="1" applyBorder="1" applyAlignment="1" applyProtection="1">
      <alignment horizontal="left" wrapText="1"/>
      <protection hidden="1"/>
    </xf>
    <xf numFmtId="0" fontId="0" fillId="0" borderId="39" xfId="0" applyBorder="1" applyAlignment="1">
      <alignment wrapText="1"/>
    </xf>
    <xf numFmtId="0" fontId="2" fillId="2" borderId="0" xfId="0" applyFont="1" applyFill="1" applyBorder="1" applyAlignment="1" applyProtection="1">
      <alignment horizontal="left" wrapText="1"/>
      <protection hidden="1"/>
    </xf>
    <xf numFmtId="0" fontId="30" fillId="5" borderId="40" xfId="0" applyFont="1" applyFill="1" applyBorder="1" applyAlignment="1" applyProtection="1">
      <alignment horizontal="left" vertical="center"/>
      <protection hidden="1"/>
    </xf>
    <xf numFmtId="0" fontId="30" fillId="5" borderId="41" xfId="0" applyFont="1" applyFill="1" applyBorder="1" applyAlignment="1" applyProtection="1">
      <alignment horizontal="left" vertical="center"/>
      <protection hidden="1"/>
    </xf>
    <xf numFmtId="0" fontId="30" fillId="5" borderId="42" xfId="0" applyFont="1" applyFill="1" applyBorder="1" applyAlignment="1" applyProtection="1">
      <alignment horizontal="left" vertical="center"/>
      <protection hidden="1"/>
    </xf>
    <xf numFmtId="0" fontId="12" fillId="4" borderId="24" xfId="0" applyFont="1" applyFill="1" applyBorder="1" applyAlignment="1" applyProtection="1">
      <alignment horizontal="center" vertical="center" wrapText="1"/>
      <protection hidden="1"/>
    </xf>
    <xf numFmtId="0" fontId="12" fillId="4" borderId="6" xfId="0" applyFont="1" applyFill="1" applyBorder="1" applyAlignment="1" applyProtection="1">
      <alignment horizontal="center" vertical="center" wrapText="1"/>
      <protection hidden="1"/>
    </xf>
    <xf numFmtId="0" fontId="12" fillId="4" borderId="8" xfId="0" applyFont="1" applyFill="1" applyBorder="1" applyAlignment="1" applyProtection="1">
      <alignment horizontal="center" vertical="center" wrapText="1"/>
      <protection hidden="1"/>
    </xf>
    <xf numFmtId="0" fontId="12" fillId="4" borderId="24" xfId="0" applyNumberFormat="1" applyFont="1" applyFill="1" applyBorder="1" applyAlignment="1" applyProtection="1">
      <alignment horizontal="center" vertical="center" wrapText="1"/>
      <protection hidden="1"/>
    </xf>
    <xf numFmtId="0" fontId="12" fillId="4" borderId="6" xfId="0" applyNumberFormat="1" applyFont="1" applyFill="1" applyBorder="1" applyAlignment="1" applyProtection="1">
      <alignment horizontal="center" vertical="center" wrapText="1"/>
      <protection hidden="1"/>
    </xf>
    <xf numFmtId="0" fontId="12" fillId="4" borderId="8" xfId="0" applyNumberFormat="1" applyFont="1" applyFill="1" applyBorder="1" applyAlignment="1" applyProtection="1">
      <alignment horizontal="center" vertical="center" wrapText="1"/>
      <protection hidden="1"/>
    </xf>
    <xf numFmtId="0" fontId="0" fillId="6" borderId="6" xfId="0" applyFill="1" applyBorder="1" applyAlignment="1" applyProtection="1">
      <alignment horizontal="center" vertical="center" wrapText="1"/>
      <protection hidden="1"/>
    </xf>
    <xf numFmtId="0" fontId="0" fillId="6" borderId="8" xfId="0" applyFill="1" applyBorder="1" applyAlignment="1" applyProtection="1">
      <alignment horizontal="center" vertical="center" wrapText="1"/>
      <protection hidden="1"/>
    </xf>
    <xf numFmtId="0" fontId="20" fillId="6" borderId="6" xfId="0" applyFont="1" applyFill="1" applyBorder="1" applyAlignment="1" applyProtection="1">
      <alignment horizontal="center" vertical="center" wrapText="1"/>
      <protection hidden="1"/>
    </xf>
    <xf numFmtId="0" fontId="20" fillId="6" borderId="8" xfId="0" applyFont="1" applyFill="1" applyBorder="1" applyAlignment="1" applyProtection="1">
      <alignment horizontal="center" vertical="center" wrapText="1"/>
      <protection hidden="1"/>
    </xf>
    <xf numFmtId="0" fontId="34" fillId="15" borderId="0" xfId="0" applyFont="1" applyFill="1" applyBorder="1" applyAlignment="1" applyProtection="1">
      <alignment horizontal="center" wrapText="1"/>
      <protection hidden="1"/>
    </xf>
    <xf numFmtId="0" fontId="6" fillId="4" borderId="24" xfId="0" applyNumberFormat="1" applyFont="1" applyFill="1" applyBorder="1" applyAlignment="1" applyProtection="1">
      <alignment wrapText="1"/>
      <protection hidden="1"/>
    </xf>
    <xf numFmtId="0" fontId="6" fillId="4" borderId="6" xfId="0" applyNumberFormat="1" applyFont="1" applyFill="1" applyBorder="1" applyAlignment="1" applyProtection="1">
      <alignment wrapText="1"/>
      <protection hidden="1"/>
    </xf>
    <xf numFmtId="0" fontId="0" fillId="0" borderId="6" xfId="0" applyNumberFormat="1" applyBorder="1" applyAlignment="1" applyProtection="1">
      <alignment wrapText="1"/>
      <protection hidden="1"/>
    </xf>
    <xf numFmtId="0" fontId="0" fillId="0" borderId="8" xfId="0" applyNumberFormat="1" applyBorder="1" applyAlignment="1" applyProtection="1">
      <alignment wrapText="1"/>
      <protection hidden="1"/>
    </xf>
    <xf numFmtId="0" fontId="6" fillId="4" borderId="8" xfId="0" applyNumberFormat="1" applyFont="1" applyFill="1" applyBorder="1" applyAlignment="1" applyProtection="1">
      <alignment wrapText="1"/>
      <protection hidden="1"/>
    </xf>
    <xf numFmtId="0" fontId="20" fillId="2" borderId="0" xfId="0" applyFont="1" applyFill="1" applyBorder="1" applyAlignment="1" applyProtection="1">
      <alignment horizontal="center" vertical="center" wrapText="1"/>
      <protection hidden="1"/>
    </xf>
    <xf numFmtId="0" fontId="0" fillId="2" borderId="0" xfId="0" applyFill="1" applyBorder="1" applyAlignment="1" applyProtection="1">
      <alignment wrapText="1"/>
      <protection hidden="1"/>
    </xf>
    <xf numFmtId="0" fontId="0" fillId="6" borderId="6" xfId="0" applyFill="1" applyBorder="1" applyAlignment="1" applyProtection="1">
      <alignment wrapText="1"/>
      <protection hidden="1"/>
    </xf>
    <xf numFmtId="0" fontId="0" fillId="6" borderId="8" xfId="0" applyFill="1" applyBorder="1" applyAlignment="1" applyProtection="1">
      <alignment wrapText="1"/>
      <protection hidden="1"/>
    </xf>
    <xf numFmtId="0" fontId="20" fillId="6" borderId="13" xfId="0" applyFont="1" applyFill="1" applyBorder="1" applyAlignment="1" applyProtection="1">
      <alignment horizontal="center" vertical="center" wrapText="1"/>
      <protection hidden="1"/>
    </xf>
    <xf numFmtId="0" fontId="0" fillId="6" borderId="35" xfId="0" applyFill="1" applyBorder="1" applyAlignment="1" applyProtection="1">
      <alignment horizontal="center" vertical="center" wrapText="1"/>
      <protection hidden="1"/>
    </xf>
    <xf numFmtId="0" fontId="12" fillId="2" borderId="9" xfId="0" applyFont="1" applyFill="1" applyBorder="1" applyAlignment="1" applyProtection="1">
      <alignment horizontal="left" wrapText="1"/>
      <protection hidden="1"/>
    </xf>
    <xf numFmtId="0" fontId="0" fillId="6" borderId="11" xfId="0" applyFill="1" applyBorder="1" applyAlignment="1" applyProtection="1">
      <protection hidden="1"/>
    </xf>
    <xf numFmtId="0" fontId="0" fillId="6" borderId="35" xfId="0" applyFill="1" applyBorder="1" applyAlignment="1" applyProtection="1">
      <protection hidden="1"/>
    </xf>
    <xf numFmtId="0" fontId="0" fillId="6" borderId="7" xfId="0" applyFill="1" applyBorder="1" applyAlignment="1" applyProtection="1">
      <protection hidden="1"/>
    </xf>
    <xf numFmtId="0" fontId="12" fillId="2" borderId="0" xfId="0" applyFont="1" applyFill="1" applyBorder="1" applyAlignment="1" applyProtection="1">
      <alignment horizontal="left" wrapText="1"/>
      <protection hidden="1"/>
    </xf>
    <xf numFmtId="0" fontId="12" fillId="0" borderId="0" xfId="0" applyFont="1" applyAlignment="1" applyProtection="1">
      <alignment horizontal="left" wrapText="1"/>
      <protection hidden="1"/>
    </xf>
    <xf numFmtId="0" fontId="20" fillId="6" borderId="14" xfId="0" applyFont="1" applyFill="1" applyBorder="1" applyAlignment="1" applyProtection="1">
      <alignment horizontal="center" vertical="center" wrapText="1"/>
      <protection hidden="1"/>
    </xf>
    <xf numFmtId="0" fontId="20" fillId="6" borderId="12" xfId="0" applyFont="1" applyFill="1" applyBorder="1" applyAlignment="1" applyProtection="1">
      <alignment horizontal="center" vertical="center" wrapText="1"/>
      <protection hidden="1"/>
    </xf>
    <xf numFmtId="2" fontId="37" fillId="2" borderId="0" xfId="0" applyNumberFormat="1" applyFont="1" applyFill="1" applyBorder="1" applyAlignment="1" applyProtection="1">
      <alignment horizontal="left" wrapText="1"/>
      <protection hidden="1"/>
    </xf>
    <xf numFmtId="2" fontId="20" fillId="0" borderId="0" xfId="0" applyNumberFormat="1" applyFont="1" applyAlignment="1" applyProtection="1">
      <alignment horizontal="left" wrapText="1"/>
      <protection hidden="1"/>
    </xf>
    <xf numFmtId="0" fontId="35" fillId="2" borderId="0" xfId="0" applyFont="1" applyFill="1" applyBorder="1" applyAlignment="1" applyProtection="1">
      <alignment horizontal="left" wrapText="1"/>
      <protection hidden="1"/>
    </xf>
    <xf numFmtId="0" fontId="34" fillId="2" borderId="0" xfId="0" applyFont="1" applyFill="1" applyAlignment="1">
      <alignment horizontal="left" wrapText="1"/>
    </xf>
    <xf numFmtId="0" fontId="6" fillId="6" borderId="24" xfId="0" applyFont="1" applyFill="1" applyBorder="1" applyAlignment="1" applyProtection="1">
      <alignment horizontal="center" vertical="center" wrapText="1"/>
      <protection hidden="1"/>
    </xf>
    <xf numFmtId="0" fontId="6" fillId="6" borderId="8" xfId="0" applyFont="1" applyFill="1" applyBorder="1" applyAlignment="1" applyProtection="1">
      <alignment horizontal="center" vertical="center" wrapText="1"/>
      <protection hidden="1"/>
    </xf>
    <xf numFmtId="0" fontId="0" fillId="0" borderId="11" xfId="0" applyBorder="1" applyAlignment="1">
      <alignment horizontal="center" vertical="center"/>
    </xf>
    <xf numFmtId="0" fontId="0" fillId="0" borderId="3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wrapText="1"/>
    </xf>
    <xf numFmtId="0" fontId="6" fillId="6" borderId="13" xfId="0" applyFont="1" applyFill="1" applyBorder="1" applyAlignment="1" applyProtection="1">
      <alignment horizontal="center" vertical="center" wrapText="1"/>
      <protection hidden="1"/>
    </xf>
    <xf numFmtId="0" fontId="0" fillId="0" borderId="4" xfId="0" applyBorder="1" applyAlignment="1">
      <alignment horizontal="center" vertical="center" wrapText="1"/>
    </xf>
    <xf numFmtId="0" fontId="0" fillId="0" borderId="11" xfId="0" applyBorder="1" applyAlignment="1">
      <alignment horizontal="center" vertical="center" wrapText="1"/>
    </xf>
    <xf numFmtId="49" fontId="12" fillId="0" borderId="6" xfId="0" applyNumberFormat="1" applyFont="1" applyBorder="1" applyAlignment="1" applyProtection="1">
      <alignment wrapText="1"/>
      <protection locked="0"/>
    </xf>
    <xf numFmtId="49" fontId="12" fillId="0" borderId="8" xfId="0" applyNumberFormat="1" applyFont="1" applyBorder="1" applyAlignment="1" applyProtection="1">
      <alignment wrapText="1"/>
      <protection locked="0"/>
    </xf>
    <xf numFmtId="4" fontId="6" fillId="4" borderId="24" xfId="0" applyNumberFormat="1" applyFont="1" applyFill="1" applyBorder="1" applyAlignment="1" applyProtection="1">
      <alignment horizontal="left" vertical="center" wrapText="1"/>
      <protection hidden="1"/>
    </xf>
    <xf numFmtId="0" fontId="6" fillId="4" borderId="6" xfId="0" applyFont="1" applyFill="1" applyBorder="1" applyAlignment="1" applyProtection="1">
      <alignment horizontal="left" vertical="center" wrapText="1"/>
      <protection hidden="1"/>
    </xf>
    <xf numFmtId="0" fontId="6" fillId="4" borderId="8" xfId="0" applyFont="1" applyFill="1" applyBorder="1" applyAlignment="1" applyProtection="1">
      <alignment horizontal="left" vertical="center" wrapText="1"/>
      <protection hidden="1"/>
    </xf>
    <xf numFmtId="0" fontId="24" fillId="6" borderId="24" xfId="0" applyFont="1" applyFill="1" applyBorder="1" applyAlignment="1" applyProtection="1">
      <alignment horizontal="left" vertical="center" wrapText="1"/>
      <protection hidden="1"/>
    </xf>
    <xf numFmtId="0" fontId="25" fillId="6" borderId="6" xfId="0" applyFont="1" applyFill="1" applyBorder="1" applyAlignment="1" applyProtection="1">
      <alignment horizontal="left"/>
      <protection hidden="1"/>
    </xf>
    <xf numFmtId="0" fontId="25" fillId="6" borderId="8" xfId="0" applyFont="1" applyFill="1" applyBorder="1" applyAlignment="1" applyProtection="1">
      <alignment horizontal="left"/>
      <protection hidden="1"/>
    </xf>
    <xf numFmtId="0" fontId="0" fillId="2" borderId="24" xfId="0" applyNumberFormat="1" applyFont="1" applyFill="1" applyBorder="1" applyAlignment="1" applyProtection="1">
      <alignment vertical="center" wrapText="1"/>
      <protection locked="0"/>
    </xf>
    <xf numFmtId="0" fontId="12" fillId="0" borderId="6" xfId="0" applyNumberFormat="1" applyFont="1" applyBorder="1" applyAlignment="1" applyProtection="1">
      <alignment vertical="center" wrapText="1"/>
      <protection locked="0"/>
    </xf>
    <xf numFmtId="0" fontId="12" fillId="0" borderId="8" xfId="0" applyNumberFormat="1" applyFont="1" applyBorder="1" applyAlignment="1" applyProtection="1">
      <alignment vertical="center" wrapText="1"/>
      <protection locked="0"/>
    </xf>
    <xf numFmtId="0" fontId="24" fillId="6" borderId="13" xfId="0" applyFont="1" applyFill="1" applyBorder="1" applyAlignment="1" applyProtection="1">
      <alignment horizontal="left" vertical="center" wrapText="1"/>
      <protection hidden="1"/>
    </xf>
    <xf numFmtId="4" fontId="0" fillId="15" borderId="24" xfId="0" applyNumberFormat="1" applyFont="1" applyFill="1" applyBorder="1" applyAlignment="1" applyProtection="1">
      <alignment horizontal="center" vertical="center" wrapText="1"/>
      <protection locked="0"/>
    </xf>
    <xf numFmtId="0" fontId="4" fillId="15" borderId="6" xfId="0" applyFont="1" applyFill="1" applyBorder="1" applyAlignment="1" applyProtection="1">
      <alignment vertical="center" wrapText="1"/>
      <protection locked="0"/>
    </xf>
    <xf numFmtId="0" fontId="4" fillId="15" borderId="8" xfId="0" applyFont="1" applyFill="1" applyBorder="1" applyAlignment="1" applyProtection="1">
      <alignment vertical="center" wrapText="1"/>
      <protection locked="0"/>
    </xf>
    <xf numFmtId="4" fontId="6" fillId="4" borderId="6" xfId="0" applyNumberFormat="1" applyFont="1" applyFill="1" applyBorder="1" applyAlignment="1" applyProtection="1">
      <alignment horizontal="left" vertical="center" wrapText="1"/>
      <protection hidden="1"/>
    </xf>
    <xf numFmtId="4" fontId="6" fillId="4" borderId="8" xfId="0" applyNumberFormat="1" applyFont="1" applyFill="1" applyBorder="1" applyAlignment="1" applyProtection="1">
      <alignment horizontal="left" vertical="center" wrapText="1"/>
      <protection hidden="1"/>
    </xf>
    <xf numFmtId="49" fontId="12" fillId="2" borderId="24" xfId="0" applyNumberFormat="1" applyFont="1" applyFill="1" applyBorder="1" applyAlignment="1" applyProtection="1">
      <alignment horizontal="center" vertical="center" wrapText="1"/>
      <protection locked="0"/>
    </xf>
    <xf numFmtId="0" fontId="28" fillId="16" borderId="52" xfId="0" applyFont="1" applyFill="1" applyBorder="1" applyAlignment="1" applyProtection="1">
      <alignment horizontal="left" vertical="center" wrapText="1"/>
      <protection hidden="1"/>
    </xf>
    <xf numFmtId="0" fontId="0" fillId="0" borderId="52" xfId="0" applyBorder="1" applyAlignment="1">
      <alignment wrapText="1"/>
    </xf>
    <xf numFmtId="0" fontId="6" fillId="16" borderId="0" xfId="0" applyFont="1" applyFill="1" applyBorder="1" applyAlignment="1" applyProtection="1">
      <alignment horizontal="left" vertical="center" wrapText="1"/>
      <protection hidden="1"/>
    </xf>
    <xf numFmtId="0" fontId="67" fillId="29" borderId="0" xfId="0" applyFont="1" applyFill="1" applyBorder="1" applyAlignment="1" applyProtection="1">
      <alignment horizontal="left" vertical="center"/>
      <protection hidden="1"/>
    </xf>
    <xf numFmtId="0" fontId="4" fillId="16" borderId="0" xfId="0" applyFont="1" applyFill="1" applyBorder="1" applyAlignment="1" applyProtection="1">
      <alignment horizontal="left" vertical="center" wrapText="1"/>
      <protection hidden="1"/>
    </xf>
    <xf numFmtId="0" fontId="28" fillId="2" borderId="0" xfId="0" applyFont="1" applyFill="1" applyAlignment="1" applyProtection="1">
      <alignment vertical="center" wrapText="1"/>
      <protection hidden="1"/>
    </xf>
    <xf numFmtId="0" fontId="28" fillId="0" borderId="0" xfId="0" applyFont="1" applyAlignment="1">
      <alignment vertical="center" wrapText="1"/>
    </xf>
    <xf numFmtId="0" fontId="10" fillId="2" borderId="0" xfId="0" applyFont="1" applyFill="1" applyAlignment="1" applyProtection="1">
      <alignment vertical="center" wrapText="1"/>
      <protection hidden="1"/>
    </xf>
    <xf numFmtId="0" fontId="32" fillId="5" borderId="0" xfId="0" applyFont="1" applyFill="1" applyBorder="1" applyAlignment="1" applyProtection="1">
      <alignment horizontal="left" vertical="center" wrapText="1"/>
      <protection hidden="1"/>
    </xf>
    <xf numFmtId="0" fontId="4" fillId="0" borderId="0" xfId="0" applyFont="1" applyAlignment="1" applyProtection="1">
      <alignment horizontal="left" vertical="center" wrapText="1"/>
      <protection hidden="1"/>
    </xf>
  </cellXfs>
  <cellStyles count="4">
    <cellStyle name="Hivatkozás" xfId="1" builtinId="8"/>
    <cellStyle name="Hivatkozás 2" xfId="2"/>
    <cellStyle name="Normál" xfId="0" builtinId="0"/>
    <cellStyle name="Normál 2" xfId="3"/>
  </cellStyles>
  <dxfs count="6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auto="1"/>
      </font>
    </dxf>
    <dxf>
      <font>
        <condense val="0"/>
        <extend val="0"/>
        <color indexed="10"/>
      </font>
    </dxf>
    <dxf>
      <fill>
        <patternFill>
          <bgColor indexed="22"/>
        </patternFill>
      </fill>
    </dxf>
    <dxf>
      <fill>
        <patternFill>
          <bgColor indexed="22"/>
        </patternFill>
      </fill>
    </dxf>
    <dxf>
      <fill>
        <patternFill>
          <bgColor indexed="22"/>
        </patternFill>
      </fill>
    </dxf>
    <dxf>
      <fill>
        <patternFill>
          <bgColor indexed="22"/>
        </patternFill>
      </fill>
    </dxf>
    <dxf>
      <font>
        <color indexed="10"/>
      </font>
    </dxf>
    <dxf>
      <font>
        <condense val="0"/>
        <extend val="0"/>
        <color indexed="10"/>
      </font>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ont>
        <condense val="0"/>
        <extend val="0"/>
        <color indexed="10"/>
      </font>
    </dxf>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name val="Cambria"/>
        <scheme val="none"/>
      </font>
    </dxf>
    <dxf>
      <font>
        <condense val="0"/>
        <extend val="0"/>
        <color indexed="10"/>
      </font>
    </dxf>
    <dxf>
      <font>
        <condense val="0"/>
        <extend val="0"/>
        <color indexed="10"/>
      </font>
    </dxf>
    <dxf>
      <font>
        <color auto="1"/>
      </font>
    </dxf>
    <dxf>
      <font>
        <color auto="1"/>
      </font>
    </dxf>
    <dxf>
      <font>
        <color auto="1"/>
      </font>
    </dxf>
    <dxf>
      <font>
        <color auto="1"/>
      </font>
    </dxf>
    <dxf>
      <font>
        <color auto="1"/>
      </font>
    </dxf>
    <dxf>
      <font>
        <color auto="1"/>
      </font>
    </dxf>
    <dxf>
      <font>
        <color auto="1"/>
      </font>
    </dxf>
    <dxf>
      <font>
        <color rgb="FF99CCFF"/>
      </font>
    </dxf>
    <dxf>
      <font>
        <color rgb="FFFF0000"/>
      </font>
    </dxf>
    <dxf>
      <font>
        <color rgb="FFFF0000"/>
      </font>
    </dxf>
    <dxf>
      <font>
        <condense val="0"/>
        <extend val="0"/>
        <color indexed="10"/>
      </font>
    </dxf>
    <dxf>
      <font>
        <condense val="0"/>
        <extend val="0"/>
        <color indexed="10"/>
      </font>
    </dxf>
    <dxf>
      <font>
        <condense val="0"/>
        <extend val="0"/>
        <color indexed="1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indexed="10"/>
      </font>
    </dxf>
    <dxf>
      <font>
        <condense val="0"/>
        <extend val="0"/>
        <color indexed="10"/>
      </font>
    </dxf>
    <dxf>
      <font>
        <color indexed="10"/>
      </font>
    </dxf>
    <dxf>
      <font>
        <color indexed="10"/>
      </font>
    </dxf>
    <dxf>
      <font>
        <color indexed="10"/>
      </font>
    </dxf>
    <dxf>
      <font>
        <color rgb="FFFF0000"/>
      </font>
    </dxf>
    <dxf>
      <font>
        <condense val="0"/>
        <extend val="0"/>
        <color indexed="10"/>
      </font>
    </dxf>
    <dxf>
      <font>
        <color indexed="10"/>
      </font>
    </dxf>
    <dxf>
      <font>
        <color indexed="10"/>
      </font>
    </dxf>
    <dxf>
      <font>
        <condense val="0"/>
        <extend val="0"/>
        <color indexed="10"/>
      </font>
    </dxf>
    <dxf>
      <font>
        <color indexed="10"/>
      </font>
    </dxf>
    <dxf>
      <font>
        <color indexed="10"/>
      </font>
    </dxf>
    <dxf>
      <font>
        <color indexed="10"/>
      </font>
    </dxf>
    <dxf>
      <font>
        <condense val="0"/>
        <extend val="0"/>
        <color indexed="10"/>
      </font>
    </dxf>
    <dxf>
      <font>
        <color indexed="10"/>
      </font>
    </dxf>
    <dxf>
      <font>
        <color indexed="10"/>
      </font>
    </dxf>
    <dxf>
      <font>
        <color indexed="10"/>
      </font>
    </dxf>
    <dxf>
      <font>
        <color rgb="FFFF0000"/>
      </font>
    </dxf>
    <dxf>
      <font>
        <color rgb="FFFF0000"/>
      </font>
    </dxf>
    <dxf>
      <font>
        <color rgb="FFFF0000"/>
      </font>
    </dxf>
    <dxf>
      <font>
        <color rgb="FFFF0000"/>
      </font>
    </dxf>
    <dxf>
      <font>
        <condense val="0"/>
        <extend val="0"/>
        <color indexed="10"/>
      </font>
    </dxf>
    <dxf>
      <font>
        <condense val="0"/>
        <extend val="0"/>
        <color indexed="10"/>
      </font>
    </dxf>
    <dxf>
      <font>
        <color rgb="FFFFC000"/>
      </font>
    </dxf>
    <dxf>
      <font>
        <color rgb="FFFFC000"/>
      </font>
    </dxf>
    <dxf>
      <font>
        <color rgb="FFFFC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ndense val="0"/>
        <extend val="0"/>
        <u val="none"/>
        <color indexed="10"/>
      </font>
      <fill>
        <patternFill>
          <bgColor indexed="22"/>
        </patternFill>
      </fill>
      <border>
        <left style="thin">
          <color indexed="10"/>
        </left>
        <right style="thin">
          <color indexed="10"/>
        </right>
        <top style="thin">
          <color indexed="10"/>
        </top>
        <bottom style="thin">
          <color indexed="10"/>
        </bottom>
      </border>
    </dxf>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lor rgb="FFFFC000"/>
      </font>
    </dxf>
    <dxf>
      <font>
        <color rgb="FFFFC000"/>
      </font>
    </dxf>
    <dxf>
      <font>
        <color rgb="FFFFC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ndense val="0"/>
        <extend val="0"/>
        <u val="none"/>
        <color indexed="10"/>
      </font>
      <fill>
        <patternFill>
          <bgColor indexed="22"/>
        </patternFill>
      </fill>
      <border>
        <left style="thin">
          <color indexed="10"/>
        </left>
        <right style="thin">
          <color indexed="10"/>
        </right>
        <top style="thin">
          <color indexed="10"/>
        </top>
        <bottom style="thin">
          <color indexed="10"/>
        </bottom>
      </border>
    </dxf>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lor rgb="FFFFC000"/>
      </font>
    </dxf>
    <dxf>
      <font>
        <color rgb="FFFFC000"/>
      </font>
    </dxf>
    <dxf>
      <font>
        <color rgb="FFFFC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ndense val="0"/>
        <extend val="0"/>
        <u val="none"/>
        <color indexed="10"/>
      </font>
      <fill>
        <patternFill>
          <bgColor indexed="22"/>
        </patternFill>
      </fill>
      <border>
        <left style="thin">
          <color indexed="10"/>
        </left>
        <right style="thin">
          <color indexed="10"/>
        </right>
        <top style="thin">
          <color indexed="10"/>
        </top>
        <bottom style="thin">
          <color indexed="10"/>
        </bottom>
      </border>
    </dxf>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lor rgb="FFFFC000"/>
      </font>
    </dxf>
    <dxf>
      <font>
        <color rgb="FFFFC000"/>
      </font>
    </dxf>
    <dxf>
      <font>
        <color rgb="FFFFC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ndense val="0"/>
        <extend val="0"/>
        <u val="none"/>
        <color indexed="10"/>
      </font>
      <fill>
        <patternFill>
          <bgColor indexed="22"/>
        </patternFill>
      </fill>
      <border>
        <left style="thin">
          <color indexed="10"/>
        </left>
        <right style="thin">
          <color indexed="10"/>
        </right>
        <top style="thin">
          <color indexed="10"/>
        </top>
        <bottom style="thin">
          <color indexed="10"/>
        </bottom>
      </border>
    </dxf>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lor rgb="FFFFC000"/>
      </font>
    </dxf>
    <dxf>
      <font>
        <color rgb="FFFFC000"/>
      </font>
    </dxf>
    <dxf>
      <font>
        <color rgb="FFFFC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ndense val="0"/>
        <extend val="0"/>
        <u val="none"/>
        <color indexed="10"/>
      </font>
      <fill>
        <patternFill>
          <bgColor indexed="22"/>
        </patternFill>
      </fill>
      <border>
        <left style="thin">
          <color indexed="10"/>
        </left>
        <right style="thin">
          <color indexed="10"/>
        </right>
        <top style="thin">
          <color indexed="10"/>
        </top>
        <bottom style="thin">
          <color indexed="10"/>
        </bottom>
      </border>
    </dxf>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lor rgb="FFFFC000"/>
      </font>
    </dxf>
    <dxf>
      <font>
        <color rgb="FFFFC000"/>
      </font>
    </dxf>
    <dxf>
      <font>
        <color rgb="FFFFC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ndense val="0"/>
        <extend val="0"/>
        <u val="none"/>
        <color indexed="10"/>
      </font>
      <fill>
        <patternFill>
          <bgColor indexed="22"/>
        </patternFill>
      </fill>
      <border>
        <left style="thin">
          <color indexed="10"/>
        </left>
        <right style="thin">
          <color indexed="10"/>
        </right>
        <top style="thin">
          <color indexed="10"/>
        </top>
        <bottom style="thin">
          <color indexed="10"/>
        </bottom>
      </border>
    </dxf>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lor rgb="FFFFC000"/>
      </font>
    </dxf>
    <dxf>
      <font>
        <color rgb="FFFFC000"/>
      </font>
    </dxf>
    <dxf>
      <font>
        <color rgb="FFFFC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ndense val="0"/>
        <extend val="0"/>
        <u val="none"/>
        <color indexed="10"/>
      </font>
      <fill>
        <patternFill>
          <bgColor indexed="22"/>
        </patternFill>
      </fill>
      <border>
        <left style="thin">
          <color indexed="10"/>
        </left>
        <right style="thin">
          <color indexed="10"/>
        </right>
        <top style="thin">
          <color indexed="10"/>
        </top>
        <bottom style="thin">
          <color indexed="10"/>
        </bottom>
      </border>
    </dxf>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lor rgb="FFFFC000"/>
      </font>
    </dxf>
    <dxf>
      <font>
        <color rgb="FFFFC000"/>
      </font>
    </dxf>
    <dxf>
      <font>
        <color rgb="FFFFC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ndense val="0"/>
        <extend val="0"/>
        <u val="none"/>
        <color indexed="10"/>
      </font>
      <fill>
        <patternFill>
          <bgColor indexed="22"/>
        </patternFill>
      </fill>
      <border>
        <left style="thin">
          <color indexed="10"/>
        </left>
        <right style="thin">
          <color indexed="10"/>
        </right>
        <top style="thin">
          <color indexed="10"/>
        </top>
        <bottom style="thin">
          <color indexed="10"/>
        </bottom>
      </border>
    </dxf>
    <dxf>
      <font>
        <condense val="0"/>
        <extend val="0"/>
        <color indexed="1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b/>
        <i val="0"/>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165100</xdr:colOff>
      <xdr:row>3</xdr:row>
      <xdr:rowOff>38100</xdr:rowOff>
    </xdr:from>
    <xdr:to>
      <xdr:col>5</xdr:col>
      <xdr:colOff>0</xdr:colOff>
      <xdr:row>5</xdr:row>
      <xdr:rowOff>12700</xdr:rowOff>
    </xdr:to>
    <xdr:pic>
      <xdr:nvPicPr>
        <xdr:cNvPr id="19430" name="Kép 1" descr="huhr_logo_en_ok_no_IPA_small">
          <a:extLst>
            <a:ext uri="{FF2B5EF4-FFF2-40B4-BE49-F238E27FC236}">
              <a16:creationId xmlns="" xmlns:a16="http://schemas.microsoft.com/office/drawing/2014/main" id="{00000000-0008-0000-0100-0000E64B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6229" b="20943"/>
        <a:stretch>
          <a:fillRect/>
        </a:stretch>
      </xdr:blipFill>
      <xdr:spPr bwMode="auto">
        <a:xfrm>
          <a:off x="508000" y="838200"/>
          <a:ext cx="21717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393700</xdr:colOff>
      <xdr:row>3</xdr:row>
      <xdr:rowOff>88900</xdr:rowOff>
    </xdr:from>
    <xdr:to>
      <xdr:col>14</xdr:col>
      <xdr:colOff>850900</xdr:colOff>
      <xdr:row>4</xdr:row>
      <xdr:rowOff>1028700</xdr:rowOff>
    </xdr:to>
    <xdr:pic>
      <xdr:nvPicPr>
        <xdr:cNvPr id="19431" name="Kép 7" descr="INTERREG_LOGO EN">
          <a:extLst>
            <a:ext uri="{FF2B5EF4-FFF2-40B4-BE49-F238E27FC236}">
              <a16:creationId xmlns="" xmlns:a16="http://schemas.microsoft.com/office/drawing/2014/main" id="{00000000-0008-0000-0100-0000E74B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4261" r="418" b="22485"/>
        <a:stretch>
          <a:fillRect/>
        </a:stretch>
      </xdr:blipFill>
      <xdr:spPr bwMode="auto">
        <a:xfrm>
          <a:off x="4013200" y="889000"/>
          <a:ext cx="3162300" cy="1041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8</xdr:row>
          <xdr:rowOff>0</xdr:rowOff>
        </xdr:from>
        <xdr:to>
          <xdr:col>0</xdr:col>
          <xdr:colOff>0</xdr:colOff>
          <xdr:row>8</xdr:row>
          <xdr:rowOff>0</xdr:rowOff>
        </xdr:to>
        <xdr:sp macro="" textlink="">
          <xdr:nvSpPr>
            <xdr:cNvPr id="28673" name="Check Box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xdr:row>
          <xdr:rowOff>0</xdr:rowOff>
        </xdr:from>
        <xdr:to>
          <xdr:col>0</xdr:col>
          <xdr:colOff>0</xdr:colOff>
          <xdr:row>8</xdr:row>
          <xdr:rowOff>0</xdr:rowOff>
        </xdr:to>
        <xdr:sp macro="" textlink="">
          <xdr:nvSpPr>
            <xdr:cNvPr id="28674" name="Check Box 2" hidden="1">
              <a:extLst>
                <a:ext uri="{63B3BB69-23CF-44E3-9099-C40C66FF867C}">
                  <a14:compatExt spid="_x0000_s286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xdr:row>
          <xdr:rowOff>0</xdr:rowOff>
        </xdr:from>
        <xdr:to>
          <xdr:col>0</xdr:col>
          <xdr:colOff>0</xdr:colOff>
          <xdr:row>8</xdr:row>
          <xdr:rowOff>0</xdr:rowOff>
        </xdr:to>
        <xdr:sp macro="" textlink="">
          <xdr:nvSpPr>
            <xdr:cNvPr id="28675" name="Check Box 3" hidden="1">
              <a:extLst>
                <a:ext uri="{63B3BB69-23CF-44E3-9099-C40C66FF867C}">
                  <a14:compatExt spid="_x0000_s286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8</xdr:row>
          <xdr:rowOff>0</xdr:rowOff>
        </xdr:from>
        <xdr:to>
          <xdr:col>0</xdr:col>
          <xdr:colOff>0</xdr:colOff>
          <xdr:row>8</xdr:row>
          <xdr:rowOff>0</xdr:rowOff>
        </xdr:to>
        <xdr:sp macro="" textlink="">
          <xdr:nvSpPr>
            <xdr:cNvPr id="28676" name="Check Box 4" hidden="1">
              <a:extLst>
                <a:ext uri="{63B3BB69-23CF-44E3-9099-C40C66FF867C}">
                  <a14:compatExt spid="_x0000_s286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12700</xdr:colOff>
      <xdr:row>1</xdr:row>
      <xdr:rowOff>254000</xdr:rowOff>
    </xdr:from>
    <xdr:to>
      <xdr:col>2</xdr:col>
      <xdr:colOff>2844800</xdr:colOff>
      <xdr:row>2</xdr:row>
      <xdr:rowOff>1536700</xdr:rowOff>
    </xdr:to>
    <xdr:pic>
      <xdr:nvPicPr>
        <xdr:cNvPr id="49001" name="Kép 1" descr="huhr_logo_en_ok_no_IPA_small">
          <a:extLst>
            <a:ext uri="{FF2B5EF4-FFF2-40B4-BE49-F238E27FC236}">
              <a16:creationId xmlns="" xmlns:a16="http://schemas.microsoft.com/office/drawing/2014/main" id="{00000000-0008-0000-1D00-000069BF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6229" b="20943"/>
        <a:stretch>
          <a:fillRect/>
        </a:stretch>
      </xdr:blipFill>
      <xdr:spPr bwMode="auto">
        <a:xfrm>
          <a:off x="1955800" y="457200"/>
          <a:ext cx="2832100" cy="1549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127000</xdr:colOff>
      <xdr:row>19</xdr:row>
      <xdr:rowOff>63500</xdr:rowOff>
    </xdr:from>
    <xdr:to>
      <xdr:col>2</xdr:col>
      <xdr:colOff>3162300</xdr:colOff>
      <xdr:row>25</xdr:row>
      <xdr:rowOff>139700</xdr:rowOff>
    </xdr:to>
    <xdr:pic>
      <xdr:nvPicPr>
        <xdr:cNvPr id="49002" name="Kép 6" descr="INTERREG_LOGO EN">
          <a:extLst>
            <a:ext uri="{FF2B5EF4-FFF2-40B4-BE49-F238E27FC236}">
              <a16:creationId xmlns="" xmlns:a16="http://schemas.microsoft.com/office/drawing/2014/main" id="{00000000-0008-0000-1D00-00006ABF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4261" r="418" b="22485"/>
        <a:stretch>
          <a:fillRect/>
        </a:stretch>
      </xdr:blipFill>
      <xdr:spPr bwMode="auto">
        <a:xfrm>
          <a:off x="1930400" y="6959600"/>
          <a:ext cx="317500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2.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4"/>
  <sheetViews>
    <sheetView topLeftCell="A16" zoomScale="85" zoomScaleNormal="85" zoomScalePageLayoutView="85" workbookViewId="0">
      <selection activeCell="B3" sqref="B3:C3"/>
    </sheetView>
  </sheetViews>
  <sheetFormatPr defaultColWidth="9.140625" defaultRowHeight="12.75" x14ac:dyDescent="0.2"/>
  <cols>
    <col min="1" max="1" width="23.42578125" style="332" customWidth="1"/>
    <col min="2" max="2" width="12.7109375" style="332" customWidth="1"/>
    <col min="3" max="3" width="18.85546875" style="332" customWidth="1"/>
    <col min="4" max="4" width="10" style="332" customWidth="1"/>
    <col min="5" max="5" width="21.42578125" style="332" customWidth="1"/>
    <col min="6" max="6" width="11.42578125" style="332" customWidth="1"/>
    <col min="7" max="7" width="0" style="332" hidden="1" customWidth="1"/>
    <col min="8" max="8" width="24.140625" style="332" hidden="1" customWidth="1"/>
    <col min="9" max="10" width="0" style="332" hidden="1" customWidth="1"/>
    <col min="11" max="16384" width="9.140625" style="332"/>
  </cols>
  <sheetData>
    <row r="1" spans="1:11" ht="15.75" x14ac:dyDescent="0.25">
      <c r="A1" s="560" t="s">
        <v>234</v>
      </c>
      <c r="B1" s="561"/>
      <c r="C1" s="561"/>
      <c r="D1" s="561"/>
      <c r="E1" s="561"/>
      <c r="F1" s="561"/>
    </row>
    <row r="2" spans="1:11" ht="4.5" customHeight="1" x14ac:dyDescent="0.2"/>
    <row r="3" spans="1:11" x14ac:dyDescent="0.2">
      <c r="A3" s="332" t="s">
        <v>236</v>
      </c>
      <c r="B3" s="565"/>
      <c r="C3" s="566"/>
      <c r="E3" s="332" t="s">
        <v>235</v>
      </c>
      <c r="F3" s="504"/>
    </row>
    <row r="4" spans="1:11" ht="3.75" customHeight="1" x14ac:dyDescent="0.2"/>
    <row r="5" spans="1:11" x14ac:dyDescent="0.2">
      <c r="D5" s="335" t="s">
        <v>265</v>
      </c>
      <c r="E5" s="570"/>
      <c r="F5" s="566"/>
    </row>
    <row r="6" spans="1:11" ht="13.5" customHeight="1" x14ac:dyDescent="0.2"/>
    <row r="7" spans="1:11" ht="15" x14ac:dyDescent="0.2">
      <c r="A7" s="331"/>
      <c r="B7" s="331"/>
      <c r="C7" s="331" t="s">
        <v>237</v>
      </c>
      <c r="D7" s="331"/>
      <c r="E7" s="331"/>
      <c r="F7" s="331"/>
      <c r="G7" s="330"/>
      <c r="J7" s="333"/>
      <c r="K7" s="493"/>
    </row>
    <row r="8" spans="1:11" ht="27" customHeight="1" x14ac:dyDescent="0.2">
      <c r="A8" s="562" t="str">
        <f>T('1. General Data'!C11:M11)</f>
        <v>Unlimited bicycle experience along the Mura and Drava rivers</v>
      </c>
      <c r="B8" s="563"/>
      <c r="C8" s="563"/>
      <c r="D8" s="563"/>
      <c r="E8" s="563"/>
      <c r="F8" s="564"/>
      <c r="G8" s="334"/>
      <c r="H8" s="334"/>
      <c r="I8" s="334"/>
      <c r="J8" s="334"/>
      <c r="K8" s="334"/>
    </row>
    <row r="9" spans="1:11" ht="3" customHeight="1" x14ac:dyDescent="0.2">
      <c r="A9" s="343"/>
      <c r="B9" s="344"/>
      <c r="C9" s="344"/>
      <c r="D9" s="344"/>
      <c r="E9" s="344"/>
      <c r="F9" s="344"/>
      <c r="G9" s="334"/>
      <c r="H9" s="334"/>
      <c r="I9" s="334"/>
      <c r="J9" s="334"/>
      <c r="K9" s="334"/>
    </row>
    <row r="10" spans="1:11" ht="35.25" customHeight="1" x14ac:dyDescent="0.2">
      <c r="A10" s="567" t="s">
        <v>273</v>
      </c>
      <c r="B10" s="571"/>
      <c r="C10" s="577" t="str">
        <f>T('1. General Data'!C14:M14)</f>
        <v>Happy Bike</v>
      </c>
      <c r="D10" s="578"/>
      <c r="E10" s="578"/>
      <c r="F10" s="579"/>
      <c r="G10" s="334"/>
      <c r="H10" s="334"/>
      <c r="I10" s="334"/>
      <c r="J10" s="334"/>
      <c r="K10" s="334"/>
    </row>
    <row r="11" spans="1:11" ht="3.75" customHeight="1" x14ac:dyDescent="0.2"/>
    <row r="12" spans="1:11" x14ac:dyDescent="0.2">
      <c r="A12" s="567" t="s">
        <v>263</v>
      </c>
      <c r="B12" s="571"/>
      <c r="C12" s="572"/>
      <c r="D12" s="573"/>
      <c r="E12" s="573"/>
      <c r="F12" s="574"/>
    </row>
    <row r="13" spans="1:11" ht="3" customHeight="1" x14ac:dyDescent="0.2">
      <c r="A13" s="15"/>
      <c r="B13" s="12"/>
      <c r="C13" s="12"/>
      <c r="D13" s="12"/>
      <c r="E13" s="25"/>
      <c r="F13" s="25"/>
    </row>
    <row r="14" spans="1:11" ht="12.75" customHeight="1" x14ac:dyDescent="0.2">
      <c r="A14" s="567" t="s">
        <v>238</v>
      </c>
      <c r="B14" s="567"/>
      <c r="C14" s="23"/>
      <c r="D14" s="25" t="s">
        <v>121</v>
      </c>
      <c r="E14" s="23"/>
      <c r="F14" s="25" t="s">
        <v>122</v>
      </c>
    </row>
    <row r="15" spans="1:11" ht="3.75" customHeight="1" x14ac:dyDescent="0.2">
      <c r="A15" s="567"/>
      <c r="B15" s="567"/>
      <c r="C15" s="25"/>
      <c r="D15" s="25"/>
      <c r="E15" s="32"/>
      <c r="F15" s="25"/>
    </row>
    <row r="16" spans="1:11" x14ac:dyDescent="0.2">
      <c r="A16" s="567"/>
      <c r="B16" s="567"/>
      <c r="C16" s="23"/>
      <c r="D16" s="25" t="s">
        <v>48</v>
      </c>
      <c r="E16" s="23"/>
      <c r="F16" s="25" t="s">
        <v>123</v>
      </c>
    </row>
    <row r="17" spans="1:8" ht="3.75" customHeight="1" x14ac:dyDescent="0.2">
      <c r="A17" s="26"/>
      <c r="B17" s="26"/>
      <c r="C17" s="25"/>
      <c r="D17" s="25"/>
      <c r="E17" s="25"/>
      <c r="F17" s="25"/>
    </row>
    <row r="18" spans="1:8" x14ac:dyDescent="0.2">
      <c r="A18" s="567" t="s">
        <v>264</v>
      </c>
      <c r="B18" s="571"/>
      <c r="C18" s="218"/>
      <c r="D18" s="12" t="s">
        <v>62</v>
      </c>
      <c r="E18" s="342"/>
      <c r="F18" s="25" t="s">
        <v>49</v>
      </c>
    </row>
    <row r="20" spans="1:8" x14ac:dyDescent="0.2">
      <c r="A20" s="575" t="s">
        <v>271</v>
      </c>
      <c r="B20" s="576"/>
      <c r="C20" s="576"/>
      <c r="D20" s="576"/>
      <c r="E20" s="576"/>
      <c r="F20" s="576"/>
    </row>
    <row r="21" spans="1:8" x14ac:dyDescent="0.2">
      <c r="H21" s="338" t="s">
        <v>376</v>
      </c>
    </row>
    <row r="22" spans="1:8" ht="24.75" customHeight="1" x14ac:dyDescent="0.2">
      <c r="A22" s="336" t="s">
        <v>250</v>
      </c>
      <c r="D22" s="585"/>
      <c r="E22" s="586"/>
      <c r="H22" s="338" t="s">
        <v>255</v>
      </c>
    </row>
    <row r="23" spans="1:8" ht="6" customHeight="1" x14ac:dyDescent="0.2">
      <c r="A23" s="336"/>
      <c r="H23" s="338" t="s">
        <v>266</v>
      </c>
    </row>
    <row r="24" spans="1:8" ht="8.25" customHeight="1" x14ac:dyDescent="0.2">
      <c r="A24" s="336"/>
    </row>
    <row r="25" spans="1:8" x14ac:dyDescent="0.2">
      <c r="H25" s="339" t="s">
        <v>252</v>
      </c>
    </row>
    <row r="26" spans="1:8" ht="24" customHeight="1" x14ac:dyDescent="0.2">
      <c r="A26" s="336" t="s">
        <v>248</v>
      </c>
      <c r="B26" s="335" t="s">
        <v>249</v>
      </c>
      <c r="D26" s="568"/>
      <c r="E26" s="569"/>
      <c r="H26" s="339" t="s">
        <v>253</v>
      </c>
    </row>
    <row r="27" spans="1:8" x14ac:dyDescent="0.2">
      <c r="A27" s="337"/>
      <c r="H27" s="339" t="s">
        <v>254</v>
      </c>
    </row>
    <row r="28" spans="1:8" x14ac:dyDescent="0.2">
      <c r="A28" s="336" t="s">
        <v>239</v>
      </c>
    </row>
    <row r="29" spans="1:8" ht="3.75" customHeight="1" x14ac:dyDescent="0.2">
      <c r="A29" s="337"/>
      <c r="H29" s="335" t="s">
        <v>256</v>
      </c>
    </row>
    <row r="30" spans="1:8" x14ac:dyDescent="0.2">
      <c r="A30" s="337">
        <v>1</v>
      </c>
      <c r="B30" s="335" t="s">
        <v>240</v>
      </c>
      <c r="D30" s="568"/>
      <c r="E30" s="569"/>
      <c r="H30" s="335" t="s">
        <v>258</v>
      </c>
    </row>
    <row r="31" spans="1:8" ht="3.75" customHeight="1" x14ac:dyDescent="0.2">
      <c r="A31" s="337"/>
      <c r="H31" s="335" t="s">
        <v>260</v>
      </c>
    </row>
    <row r="32" spans="1:8" x14ac:dyDescent="0.2">
      <c r="A32" s="337">
        <v>2</v>
      </c>
      <c r="B32" s="335" t="s">
        <v>241</v>
      </c>
      <c r="D32" s="568"/>
      <c r="E32" s="569"/>
      <c r="H32" s="335" t="s">
        <v>257</v>
      </c>
    </row>
    <row r="33" spans="1:8" ht="3.75" customHeight="1" x14ac:dyDescent="0.2">
      <c r="A33" s="337"/>
      <c r="H33" s="335" t="s">
        <v>272</v>
      </c>
    </row>
    <row r="34" spans="1:8" x14ac:dyDescent="0.2">
      <c r="A34" s="337">
        <v>3</v>
      </c>
      <c r="B34" s="335" t="s">
        <v>242</v>
      </c>
      <c r="D34" s="568"/>
      <c r="E34" s="569"/>
      <c r="H34" s="335" t="s">
        <v>259</v>
      </c>
    </row>
    <row r="35" spans="1:8" ht="3.75" customHeight="1" x14ac:dyDescent="0.2">
      <c r="A35" s="337"/>
    </row>
    <row r="36" spans="1:8" x14ac:dyDescent="0.2">
      <c r="A36" s="337">
        <v>4</v>
      </c>
      <c r="B36" s="335" t="s">
        <v>233</v>
      </c>
      <c r="D36" s="568"/>
      <c r="E36" s="569"/>
    </row>
    <row r="37" spans="1:8" ht="3.75" customHeight="1" x14ac:dyDescent="0.2">
      <c r="A37" s="337"/>
      <c r="B37" s="335"/>
    </row>
    <row r="38" spans="1:8" x14ac:dyDescent="0.2">
      <c r="A38" s="337">
        <v>5</v>
      </c>
      <c r="B38" s="335" t="s">
        <v>377</v>
      </c>
      <c r="D38" s="568"/>
      <c r="E38" s="569"/>
    </row>
    <row r="39" spans="1:8" x14ac:dyDescent="0.2">
      <c r="A39" s="337"/>
    </row>
    <row r="40" spans="1:8" x14ac:dyDescent="0.2">
      <c r="A40" s="336" t="s">
        <v>243</v>
      </c>
    </row>
    <row r="41" spans="1:8" ht="3.75" customHeight="1" x14ac:dyDescent="0.2">
      <c r="A41" s="337"/>
      <c r="H41" s="335" t="s">
        <v>258</v>
      </c>
    </row>
    <row r="42" spans="1:8" x14ac:dyDescent="0.2">
      <c r="A42" s="337">
        <v>1</v>
      </c>
      <c r="B42" s="335" t="s">
        <v>244</v>
      </c>
      <c r="D42" s="568"/>
      <c r="E42" s="569"/>
      <c r="H42" s="335" t="s">
        <v>260</v>
      </c>
    </row>
    <row r="43" spans="1:8" ht="3.75" customHeight="1" x14ac:dyDescent="0.2">
      <c r="A43" s="337"/>
      <c r="H43" s="335" t="s">
        <v>257</v>
      </c>
    </row>
    <row r="44" spans="1:8" x14ac:dyDescent="0.2">
      <c r="A44" s="337">
        <v>2</v>
      </c>
      <c r="B44" s="335" t="s">
        <v>261</v>
      </c>
      <c r="D44" s="568"/>
      <c r="E44" s="569"/>
      <c r="H44" s="335" t="s">
        <v>259</v>
      </c>
    </row>
    <row r="45" spans="1:8" ht="3.75" customHeight="1" x14ac:dyDescent="0.2">
      <c r="A45" s="337"/>
    </row>
    <row r="46" spans="1:8" x14ac:dyDescent="0.2">
      <c r="A46" s="337">
        <v>3</v>
      </c>
      <c r="B46" s="335" t="s">
        <v>245</v>
      </c>
      <c r="D46" s="568"/>
      <c r="E46" s="569"/>
    </row>
    <row r="47" spans="1:8" x14ac:dyDescent="0.2">
      <c r="A47" s="337"/>
    </row>
    <row r="48" spans="1:8" x14ac:dyDescent="0.2">
      <c r="A48" s="336" t="s">
        <v>270</v>
      </c>
      <c r="H48" s="335" t="s">
        <v>268</v>
      </c>
    </row>
    <row r="49" spans="1:8" ht="3.75" customHeight="1" x14ac:dyDescent="0.2">
      <c r="A49" s="337"/>
      <c r="H49" s="335" t="s">
        <v>260</v>
      </c>
    </row>
    <row r="50" spans="1:8" x14ac:dyDescent="0.2">
      <c r="A50" s="337">
        <v>1</v>
      </c>
      <c r="B50" s="335" t="s">
        <v>247</v>
      </c>
      <c r="D50" s="568"/>
      <c r="E50" s="569"/>
      <c r="H50" s="335" t="s">
        <v>269</v>
      </c>
    </row>
    <row r="51" spans="1:8" ht="3.75" customHeight="1" x14ac:dyDescent="0.2">
      <c r="A51" s="337"/>
      <c r="B51" s="335"/>
      <c r="H51" s="335"/>
    </row>
    <row r="52" spans="1:8" x14ac:dyDescent="0.2">
      <c r="A52" s="337">
        <v>2</v>
      </c>
      <c r="B52" s="335" t="s">
        <v>246</v>
      </c>
      <c r="D52" s="568"/>
      <c r="E52" s="569"/>
    </row>
    <row r="53" spans="1:8" ht="3.75" customHeight="1" x14ac:dyDescent="0.2">
      <c r="A53" s="337"/>
    </row>
    <row r="54" spans="1:8" x14ac:dyDescent="0.2">
      <c r="A54" s="337">
        <v>3</v>
      </c>
      <c r="B54" s="335" t="s">
        <v>243</v>
      </c>
      <c r="D54" s="568"/>
      <c r="E54" s="569"/>
    </row>
    <row r="55" spans="1:8" ht="3.75" customHeight="1" x14ac:dyDescent="0.2">
      <c r="A55" s="337"/>
    </row>
    <row r="56" spans="1:8" x14ac:dyDescent="0.2">
      <c r="A56" s="337">
        <v>4</v>
      </c>
      <c r="B56" s="335" t="s">
        <v>267</v>
      </c>
      <c r="D56" s="568"/>
      <c r="E56" s="569"/>
    </row>
    <row r="57" spans="1:8" x14ac:dyDescent="0.2">
      <c r="A57" s="337"/>
    </row>
    <row r="58" spans="1:8" ht="27.75" customHeight="1" x14ac:dyDescent="0.2">
      <c r="A58" s="583" t="s">
        <v>378</v>
      </c>
      <c r="B58" s="584"/>
      <c r="D58" s="585"/>
      <c r="E58" s="586"/>
      <c r="H58" s="335" t="s">
        <v>262</v>
      </c>
    </row>
    <row r="59" spans="1:8" ht="3.75" customHeight="1" x14ac:dyDescent="0.2">
      <c r="A59" s="337"/>
      <c r="H59" s="335" t="s">
        <v>258</v>
      </c>
    </row>
    <row r="60" spans="1:8" ht="15" x14ac:dyDescent="0.2">
      <c r="A60" s="340" t="s">
        <v>251</v>
      </c>
      <c r="B60" s="331"/>
      <c r="D60" s="331"/>
      <c r="E60" s="331"/>
      <c r="F60" s="331"/>
      <c r="H60" s="335" t="s">
        <v>257</v>
      </c>
    </row>
    <row r="61" spans="1:8" ht="26.25" customHeight="1" x14ac:dyDescent="0.2">
      <c r="A61" s="580"/>
      <c r="B61" s="581"/>
      <c r="C61" s="581"/>
      <c r="D61" s="581"/>
      <c r="E61" s="581"/>
      <c r="F61" s="582"/>
      <c r="H61" s="335" t="s">
        <v>259</v>
      </c>
    </row>
    <row r="63" spans="1:8" x14ac:dyDescent="0.2">
      <c r="A63" s="341"/>
      <c r="E63" s="341"/>
    </row>
    <row r="64" spans="1:8" x14ac:dyDescent="0.2">
      <c r="A64" s="505" t="str">
        <f>IF(ISBLANK(C16),"signature of consulting person",CONCATENATE(C14," ",C16," ",E16))</f>
        <v>signature of consulting person</v>
      </c>
      <c r="E64" s="506" t="str">
        <f>IF(ISBLANK(B3),"signature of JS member",T(B3))</f>
        <v>signature of JS member</v>
      </c>
    </row>
  </sheetData>
  <sheetProtection password="F58B" sheet="1" formatRows="0" insertRows="0"/>
  <mergeCells count="28">
    <mergeCell ref="A61:F61"/>
    <mergeCell ref="A58:B58"/>
    <mergeCell ref="D22:E22"/>
    <mergeCell ref="D26:E26"/>
    <mergeCell ref="D30:E30"/>
    <mergeCell ref="D42:E42"/>
    <mergeCell ref="D54:E54"/>
    <mergeCell ref="D58:E58"/>
    <mergeCell ref="D36:E36"/>
    <mergeCell ref="D34:E34"/>
    <mergeCell ref="D50:E50"/>
    <mergeCell ref="D52:E52"/>
    <mergeCell ref="D56:E56"/>
    <mergeCell ref="D38:E38"/>
    <mergeCell ref="D44:E44"/>
    <mergeCell ref="D46:E46"/>
    <mergeCell ref="A1:F1"/>
    <mergeCell ref="A8:F8"/>
    <mergeCell ref="B3:C3"/>
    <mergeCell ref="A14:B16"/>
    <mergeCell ref="D32:E32"/>
    <mergeCell ref="E5:F5"/>
    <mergeCell ref="A18:B18"/>
    <mergeCell ref="A12:B12"/>
    <mergeCell ref="C12:F12"/>
    <mergeCell ref="A20:F20"/>
    <mergeCell ref="C10:F10"/>
    <mergeCell ref="A10:B10"/>
  </mergeCells>
  <phoneticPr fontId="3" type="noConversion"/>
  <conditionalFormatting sqref="A7">
    <cfRule type="cellIs" dxfId="611" priority="21" stopIfTrue="1" operator="notEqual">
      <formula>$Q$16</formula>
    </cfRule>
  </conditionalFormatting>
  <dataValidations count="10">
    <dataValidation type="textLength" operator="lessThanOrEqual" allowBlank="1" showInputMessage="1" showErrorMessage="1" sqref="A61 A9">
      <formula1>200</formula1>
    </dataValidation>
    <dataValidation type="textLength" operator="lessThanOrEqual" allowBlank="1" showInputMessage="1" showErrorMessage="1" sqref="E14 E16 C16 C14">
      <formula1>30</formula1>
    </dataValidation>
    <dataValidation type="textLength" allowBlank="1" showInputMessage="1" showErrorMessage="1" sqref="E15 C17">
      <formula1>1</formula1>
      <formula2>20</formula2>
    </dataValidation>
    <dataValidation type="textLength" allowBlank="1" showInputMessage="1" showErrorMessage="1" sqref="E17">
      <formula1>1</formula1>
      <formula2>30</formula2>
    </dataValidation>
    <dataValidation type="list" allowBlank="1" showInputMessage="1" showErrorMessage="1" sqref="D22:E22">
      <formula1>$H$21:$H$23</formula1>
    </dataValidation>
    <dataValidation type="list" allowBlank="1" showInputMessage="1" showErrorMessage="1" sqref="D26:E26">
      <formula1>$H$25:$H$27</formula1>
    </dataValidation>
    <dataValidation type="list" allowBlank="1" showInputMessage="1" showErrorMessage="1" sqref="D42:E42 D44:E44 D46:E46">
      <formula1>$H$41:$H$44</formula1>
    </dataValidation>
    <dataValidation type="list" allowBlank="1" showInputMessage="1" showErrorMessage="1" sqref="D50:E50 D52:E52 D54:E54 D56:E56">
      <formula1>$H$48:$H$51</formula1>
    </dataValidation>
    <dataValidation type="list" allowBlank="1" showInputMessage="1" showErrorMessage="1" sqref="D58:E58">
      <formula1>$H$58:$H$61</formula1>
    </dataValidation>
    <dataValidation type="list" allowBlank="1" showInputMessage="1" showErrorMessage="1" sqref="D30:E30 D32:E32 D34:E34 D36:E36 D38:E38">
      <formula1>$H$29:$H$34</formula1>
    </dataValidation>
  </dataValidations>
  <pageMargins left="0.70866141732283461" right="0.70866141732283461" top="0.74803149606299213" bottom="0.74803149606299213" header="0.31496062992125984" footer="0.31496062992125984"/>
  <pageSetup scale="75"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topLeftCell="A2" workbookViewId="0">
      <selection activeCell="C5" sqref="C5:F5"/>
    </sheetView>
  </sheetViews>
  <sheetFormatPr defaultColWidth="9.140625" defaultRowHeight="12.75" x14ac:dyDescent="0.2"/>
  <cols>
    <col min="1" max="2" width="14.85546875" style="3" customWidth="1"/>
    <col min="3" max="3" width="18.85546875" style="3" customWidth="1"/>
    <col min="4" max="4" width="10.7109375" style="3" customWidth="1"/>
    <col min="5" max="5" width="18.85546875" style="3" customWidth="1"/>
    <col min="6" max="6" width="12.140625" style="3" customWidth="1"/>
    <col min="7" max="7" width="24.140625" style="3" hidden="1" customWidth="1"/>
    <col min="8" max="8" width="18" style="3" hidden="1" customWidth="1"/>
    <col min="9" max="9" width="9.140625" style="3" hidden="1" customWidth="1"/>
    <col min="10" max="10" width="12.42578125" style="3" hidden="1" customWidth="1"/>
    <col min="11" max="14" width="9.140625" style="3" hidden="1" customWidth="1"/>
    <col min="15" max="16384" width="9.140625" style="3"/>
  </cols>
  <sheetData>
    <row r="1" spans="1:15" ht="6.75" hidden="1" customHeight="1" x14ac:dyDescent="0.2">
      <c r="G1" s="7" t="s">
        <v>102</v>
      </c>
      <c r="H1" s="3">
        <f>IF($C$11="Hungary",1,IF($C$11="Croatia",2,0))</f>
        <v>0</v>
      </c>
      <c r="J1" s="567" t="s">
        <v>44</v>
      </c>
      <c r="K1" s="677"/>
    </row>
    <row r="2" spans="1:15" ht="15.75" x14ac:dyDescent="0.25">
      <c r="A2" s="560" t="s">
        <v>349</v>
      </c>
      <c r="B2" s="561"/>
      <c r="C2" s="561"/>
      <c r="D2" s="561"/>
      <c r="E2" s="561"/>
      <c r="F2" s="561"/>
      <c r="G2" s="7" t="s">
        <v>103</v>
      </c>
      <c r="J2" t="s">
        <v>228</v>
      </c>
    </row>
    <row r="3" spans="1:15" ht="11.25" customHeight="1" x14ac:dyDescent="0.2">
      <c r="A3" s="14"/>
      <c r="G3" s="3" t="s">
        <v>104</v>
      </c>
      <c r="H3" s="3" t="str">
        <f>IF($H$1=1,G3,IF($H$1=2,G6,"-"))</f>
        <v>-</v>
      </c>
      <c r="J3" t="s">
        <v>229</v>
      </c>
    </row>
    <row r="4" spans="1:15" ht="15" x14ac:dyDescent="0.25">
      <c r="A4" s="19" t="s">
        <v>355</v>
      </c>
      <c r="G4" s="3" t="s">
        <v>105</v>
      </c>
      <c r="H4" s="3" t="str">
        <f>IF($H$1=1,G4,IF($H$1=2,G7,"-"))</f>
        <v>-</v>
      </c>
      <c r="J4" s="3" t="s">
        <v>232</v>
      </c>
    </row>
    <row r="5" spans="1:15" ht="46.5" customHeight="1" x14ac:dyDescent="0.2">
      <c r="A5" s="567" t="s">
        <v>181</v>
      </c>
      <c r="B5" s="571"/>
      <c r="C5" s="698"/>
      <c r="D5" s="689"/>
      <c r="E5" s="689"/>
      <c r="F5" s="690"/>
      <c r="G5" s="3" t="s">
        <v>106</v>
      </c>
      <c r="H5" s="3" t="str">
        <f>IF($H$1=1,G5,IF($H$1=2,G8,"-"))</f>
        <v>-</v>
      </c>
      <c r="I5" s="2" t="b">
        <f>IF(C5="",FALSE,A5)</f>
        <v>0</v>
      </c>
      <c r="J5" t="s">
        <v>230</v>
      </c>
    </row>
    <row r="6" spans="1:15" ht="6" customHeight="1" x14ac:dyDescent="0.2">
      <c r="A6" s="15"/>
      <c r="B6" s="12"/>
      <c r="C6" s="12"/>
      <c r="D6" s="12"/>
      <c r="E6" s="12"/>
      <c r="F6" s="12"/>
      <c r="G6" s="20" t="s">
        <v>107</v>
      </c>
      <c r="H6" s="3" t="str">
        <f>IF($H$1=1,"-",IF($H$1=2,G9,"-"))</f>
        <v>-</v>
      </c>
      <c r="J6" t="s">
        <v>153</v>
      </c>
    </row>
    <row r="7" spans="1:15" ht="46.5" customHeight="1" x14ac:dyDescent="0.2">
      <c r="A7" s="567" t="s">
        <v>163</v>
      </c>
      <c r="B7" s="667"/>
      <c r="C7" s="698"/>
      <c r="D7" s="689"/>
      <c r="E7" s="689"/>
      <c r="F7" s="690"/>
      <c r="G7" s="20" t="s">
        <v>108</v>
      </c>
      <c r="H7" s="3" t="str">
        <f>IF($H$1=1,"-",IF($H$1=2,G10,"-"))</f>
        <v>-</v>
      </c>
      <c r="I7" s="2" t="b">
        <f>IF(C7="",FALSE,A7)</f>
        <v>0</v>
      </c>
      <c r="J7" t="s">
        <v>231</v>
      </c>
    </row>
    <row r="8" spans="1:15" ht="6" customHeight="1" x14ac:dyDescent="0.2">
      <c r="A8" s="15"/>
      <c r="B8" s="12"/>
      <c r="C8" s="12"/>
      <c r="D8" s="12"/>
      <c r="E8" s="12"/>
      <c r="F8" s="12"/>
      <c r="G8" s="20" t="s">
        <v>109</v>
      </c>
      <c r="H8" s="3" t="str">
        <f>IF($H$1=1,"-",IF($H$1=2,G11,"-"))</f>
        <v>-</v>
      </c>
      <c r="J8" t="s">
        <v>156</v>
      </c>
    </row>
    <row r="9" spans="1:15" ht="25.5" customHeight="1" x14ac:dyDescent="0.2">
      <c r="A9" s="567" t="s">
        <v>180</v>
      </c>
      <c r="B9" s="571"/>
      <c r="C9" s="700"/>
      <c r="D9" s="695"/>
      <c r="E9" s="695"/>
      <c r="F9" s="696"/>
      <c r="G9" s="20" t="s">
        <v>110</v>
      </c>
      <c r="H9" s="3" t="str">
        <f>IF($H$1=1,"-",IF($H$1=2,G12,"-"))</f>
        <v>-</v>
      </c>
      <c r="I9" s="2" t="b">
        <f>IF(C9="",FALSE,A9)</f>
        <v>0</v>
      </c>
      <c r="J9" t="s">
        <v>160</v>
      </c>
      <c r="O9" s="151"/>
    </row>
    <row r="10" spans="1:15" ht="6" customHeight="1" thickBot="1" x14ac:dyDescent="0.25">
      <c r="A10" s="15"/>
      <c r="B10" s="12"/>
      <c r="C10" s="12"/>
      <c r="D10" s="12"/>
      <c r="E10" s="12"/>
      <c r="F10" s="12"/>
      <c r="G10" s="20" t="s">
        <v>111</v>
      </c>
      <c r="H10" s="3" t="str">
        <f>IF($H$1=1,"-",IF($H$1=2,G13,"-"))</f>
        <v>-</v>
      </c>
      <c r="J10" t="s">
        <v>154</v>
      </c>
    </row>
    <row r="11" spans="1:15" ht="12.75" customHeight="1" thickBot="1" x14ac:dyDescent="0.25">
      <c r="A11" s="567" t="s">
        <v>61</v>
      </c>
      <c r="B11" s="677"/>
      <c r="C11" s="209" t="str">
        <f>IF(OR(C13=G3,C13=G4,C13=G5),G1,IF(LEN(C13)&gt;5,G2,IF(LEN(C13)=5,C39,"")))</f>
        <v/>
      </c>
      <c r="D11" s="31"/>
      <c r="E11" s="684" t="s">
        <v>348</v>
      </c>
      <c r="F11" s="685"/>
      <c r="G11" s="20" t="s">
        <v>113</v>
      </c>
      <c r="I11" s="2" t="b">
        <f>IF(C11="",FALSE,A11)</f>
        <v>0</v>
      </c>
      <c r="J11" t="s">
        <v>155</v>
      </c>
      <c r="K11" s="168" t="str">
        <f>IF(AND(LEN(C13)&gt;5,OR(C13=G3,C13=G4,C13=G5,C13=G6,C13=G7,C13=G8,C13=G9,C13=G10,C13=G11,C13=G12,C13=G13)),"",IF(C13="","",E11))</f>
        <v/>
      </c>
      <c r="L11" s="168" t="str">
        <f>IF(AND(LEN(C13)&gt;5,OR(C13=G3,C13=G4,C13=G5,C13=G6,C13=G7,C13=G8,C13=G9,C13=G10,C13=G11,C13=G12,C13=G13)),"",IF(C13="","","Lead Beneficiary is not eligible (adjacent or out of the programme area)!"))</f>
        <v/>
      </c>
    </row>
    <row r="12" spans="1:15" ht="6" customHeight="1" x14ac:dyDescent="0.2">
      <c r="A12" s="15"/>
      <c r="B12" s="12"/>
      <c r="C12" s="12"/>
      <c r="D12" s="12"/>
      <c r="E12" s="685"/>
      <c r="F12" s="685"/>
      <c r="G12" s="20" t="s">
        <v>114</v>
      </c>
      <c r="H12" s="3" t="s">
        <v>115</v>
      </c>
      <c r="J12" s="406" t="s">
        <v>401</v>
      </c>
    </row>
    <row r="13" spans="1:15" ht="12.75" customHeight="1" x14ac:dyDescent="0.2">
      <c r="A13" s="567" t="s">
        <v>112</v>
      </c>
      <c r="B13" s="677"/>
      <c r="C13" s="630" t="str">
        <f>IF(AND(ISTEXT(C72),C72&lt;&gt;"-",LEN(C41)&lt;=5,H70=C72),C72,IF(AND(ISTEXT(C41),C41&lt;&gt;"-",H39=C41),C41,""))</f>
        <v/>
      </c>
      <c r="D13" s="639"/>
      <c r="E13" s="685"/>
      <c r="F13" s="685"/>
      <c r="G13" s="20" t="s">
        <v>116</v>
      </c>
      <c r="H13" s="3" t="s">
        <v>117</v>
      </c>
      <c r="I13" s="2" t="b">
        <f>IF(C13="",FALSE,IF(C13="-",FALSE,A13))</f>
        <v>0</v>
      </c>
      <c r="J13" s="406" t="s">
        <v>402</v>
      </c>
      <c r="K13" s="3" t="str">
        <f>IF(AND(ISTEXT(C72),C72&lt;&gt;"-"),C72,IF(AND(ISTEXT(C41),C41&lt;&gt;"-"),C41,""))</f>
        <v/>
      </c>
    </row>
    <row r="14" spans="1:15" ht="6" customHeight="1" x14ac:dyDescent="0.2">
      <c r="A14" s="15"/>
      <c r="B14" s="12"/>
      <c r="C14" s="12"/>
      <c r="D14" s="12"/>
      <c r="E14" s="686"/>
      <c r="F14" s="686"/>
      <c r="G14" s="11" t="s">
        <v>148</v>
      </c>
      <c r="J14" s="1"/>
    </row>
    <row r="15" spans="1:15" ht="12.75" customHeight="1" x14ac:dyDescent="0.2">
      <c r="A15" s="567" t="s">
        <v>43</v>
      </c>
      <c r="B15" s="667"/>
      <c r="C15" s="568"/>
      <c r="D15" s="672"/>
      <c r="G15" s="3">
        <f>IF($C$11="Hungary",1,IF($C$11="Croatia",2,0))</f>
        <v>0</v>
      </c>
      <c r="H15" s="3" t="s">
        <v>1</v>
      </c>
      <c r="I15" s="2" t="b">
        <f>IF(C15="",FALSE,A15)</f>
        <v>0</v>
      </c>
      <c r="J15" s="1"/>
    </row>
    <row r="16" spans="1:15" ht="6" customHeight="1" x14ac:dyDescent="0.2">
      <c r="A16" s="15"/>
      <c r="B16" s="12"/>
      <c r="C16" s="21"/>
      <c r="D16" s="29"/>
      <c r="E16" s="21"/>
      <c r="F16" s="12"/>
      <c r="H16" s="3" t="s">
        <v>2</v>
      </c>
      <c r="J16" s="1"/>
    </row>
    <row r="17" spans="1:9" ht="12.75" customHeight="1" x14ac:dyDescent="0.2">
      <c r="A17" s="567" t="s">
        <v>76</v>
      </c>
      <c r="B17" s="667"/>
      <c r="C17" s="302"/>
      <c r="D17" s="692" t="s">
        <v>0</v>
      </c>
      <c r="E17" s="693"/>
      <c r="I17" s="2" t="b">
        <f>IF(C17="",FALSE,A17)</f>
        <v>0</v>
      </c>
    </row>
    <row r="18" spans="1:9" ht="6" customHeight="1" x14ac:dyDescent="0.2">
      <c r="A18" s="15"/>
      <c r="B18" s="12"/>
      <c r="C18" s="21"/>
      <c r="D18" s="12"/>
      <c r="E18" s="21"/>
      <c r="F18" s="12"/>
    </row>
    <row r="19" spans="1:9" ht="46.5" customHeight="1" x14ac:dyDescent="0.2">
      <c r="A19" s="567" t="s">
        <v>182</v>
      </c>
      <c r="B19" s="667"/>
      <c r="C19" s="698"/>
      <c r="D19" s="689"/>
      <c r="E19" s="689"/>
      <c r="F19" s="690"/>
      <c r="G19" s="30" t="s">
        <v>126</v>
      </c>
      <c r="I19" s="2" t="b">
        <f>IF(C19="",FALSE,A19)</f>
        <v>0</v>
      </c>
    </row>
    <row r="20" spans="1:9" ht="6" customHeight="1" x14ac:dyDescent="0.2">
      <c r="A20" s="15"/>
      <c r="B20" s="12"/>
      <c r="C20" s="21"/>
      <c r="D20" s="12"/>
      <c r="E20" s="21"/>
      <c r="F20" s="12"/>
      <c r="G20" s="30" t="s">
        <v>128</v>
      </c>
    </row>
    <row r="21" spans="1:9" ht="12.75" customHeight="1" x14ac:dyDescent="0.2">
      <c r="A21" s="567" t="s">
        <v>44</v>
      </c>
      <c r="B21" s="677"/>
      <c r="C21" s="568"/>
      <c r="D21" s="691"/>
      <c r="E21" s="691"/>
      <c r="F21" s="582"/>
      <c r="G21" s="30" t="s">
        <v>127</v>
      </c>
      <c r="I21" s="2" t="b">
        <f>IF(C21="",FALSE,A21)</f>
        <v>0</v>
      </c>
    </row>
    <row r="22" spans="1:9" ht="6" customHeight="1" x14ac:dyDescent="0.2">
      <c r="A22" s="15"/>
      <c r="B22" s="12"/>
      <c r="C22" s="21"/>
      <c r="D22" s="12"/>
      <c r="E22" s="21"/>
      <c r="F22" s="12"/>
    </row>
    <row r="23" spans="1:9" ht="12.75" customHeight="1" x14ac:dyDescent="0.2">
      <c r="A23" s="567" t="s">
        <v>66</v>
      </c>
      <c r="B23" s="667"/>
      <c r="C23" s="700"/>
      <c r="D23" s="688"/>
      <c r="E23" s="694" t="s">
        <v>159</v>
      </c>
      <c r="F23" s="619"/>
      <c r="I23" s="2" t="b">
        <f>IF(C23="",FALSE,A23)</f>
        <v>0</v>
      </c>
    </row>
    <row r="24" spans="1:9" ht="6" customHeight="1" x14ac:dyDescent="0.2">
      <c r="A24" s="15"/>
      <c r="B24" s="12"/>
      <c r="C24" s="21"/>
      <c r="D24" s="12"/>
      <c r="E24" s="21"/>
      <c r="F24" s="12"/>
    </row>
    <row r="25" spans="1:9" ht="12.75" customHeight="1" x14ac:dyDescent="0.2">
      <c r="A25" s="567" t="s">
        <v>334</v>
      </c>
      <c r="B25" s="667"/>
      <c r="C25" s="700"/>
      <c r="D25" s="688"/>
      <c r="I25" s="2" t="b">
        <f>IF(C25="",FALSE,A25)</f>
        <v>0</v>
      </c>
    </row>
    <row r="26" spans="1:9" ht="6" customHeight="1" x14ac:dyDescent="0.2">
      <c r="A26" s="15"/>
      <c r="B26" s="12"/>
      <c r="C26" s="21"/>
      <c r="D26" s="12"/>
      <c r="E26" s="21"/>
      <c r="F26" s="12"/>
    </row>
    <row r="27" spans="1:9" ht="12.75" customHeight="1" x14ac:dyDescent="0.2">
      <c r="A27" s="567" t="s">
        <v>65</v>
      </c>
      <c r="B27" s="667"/>
      <c r="C27" s="700"/>
      <c r="D27" s="688"/>
      <c r="I27" s="2" t="b">
        <f>IF(C27="",FALSE,A27)</f>
        <v>0</v>
      </c>
    </row>
    <row r="28" spans="1:9" ht="3" customHeight="1" x14ac:dyDescent="0.2">
      <c r="A28" s="15"/>
      <c r="B28" s="15"/>
      <c r="C28" s="31"/>
      <c r="D28" s="33"/>
      <c r="I28" s="2"/>
    </row>
    <row r="29" spans="1:9" ht="10.5" customHeight="1" x14ac:dyDescent="0.2">
      <c r="A29" s="15"/>
      <c r="B29" s="12"/>
      <c r="C29" s="21"/>
      <c r="D29" s="12"/>
      <c r="E29" s="21"/>
      <c r="F29" s="12"/>
      <c r="G29" s="7" t="s">
        <v>102</v>
      </c>
      <c r="H29" s="3">
        <f>IF($C$39="Hungary",1,IF($C$39="Croatia",2,0))</f>
        <v>0</v>
      </c>
    </row>
    <row r="30" spans="1:9" ht="19.5" customHeight="1" x14ac:dyDescent="0.2">
      <c r="A30" s="663" t="s">
        <v>75</v>
      </c>
      <c r="B30" s="682"/>
      <c r="C30" s="683"/>
      <c r="D30" s="683"/>
      <c r="E30" s="21"/>
      <c r="F30" s="12"/>
      <c r="G30" s="7" t="s">
        <v>103</v>
      </c>
      <c r="H30" s="3" t="s">
        <v>157</v>
      </c>
    </row>
    <row r="31" spans="1:9" ht="6" customHeight="1" x14ac:dyDescent="0.2">
      <c r="A31" s="15"/>
      <c r="B31" s="12"/>
      <c r="C31" s="21"/>
      <c r="D31" s="12"/>
      <c r="E31" s="21"/>
      <c r="F31" s="12"/>
      <c r="G31" s="3" t="s">
        <v>104</v>
      </c>
      <c r="H31" s="3" t="str">
        <f>IF($H$29=1,G31,IF($H$29=2,G34,"-"))</f>
        <v>-</v>
      </c>
    </row>
    <row r="32" spans="1:9" ht="25.5" customHeight="1" x14ac:dyDescent="0.2">
      <c r="A32" s="567" t="s">
        <v>118</v>
      </c>
      <c r="B32" s="567"/>
      <c r="C32" s="698"/>
      <c r="D32" s="680"/>
      <c r="E32" s="681"/>
      <c r="F32" s="12" t="s">
        <v>119</v>
      </c>
      <c r="G32" s="3" t="s">
        <v>105</v>
      </c>
      <c r="H32" s="3" t="str">
        <f>IF($H$29=1,G32,IF($H$29=2,G35,"-"))</f>
        <v>-</v>
      </c>
      <c r="I32" s="2">
        <f>IF(AND(C32&lt;&gt;"",C34&lt;&gt;"",E34&lt;&gt;"")=TRUE,A32,0)</f>
        <v>0</v>
      </c>
    </row>
    <row r="33" spans="1:9" ht="6" customHeight="1" x14ac:dyDescent="0.2">
      <c r="A33" s="567"/>
      <c r="B33" s="567"/>
      <c r="C33" s="12"/>
      <c r="D33" s="22"/>
      <c r="E33" s="22"/>
      <c r="F33" s="12"/>
      <c r="G33" s="3" t="s">
        <v>106</v>
      </c>
      <c r="H33" s="3" t="str">
        <f>IF($H$29=1,G33,IF($H$29=2,G36,"-"))</f>
        <v>-</v>
      </c>
    </row>
    <row r="34" spans="1:9" ht="25.5" x14ac:dyDescent="0.2">
      <c r="A34" s="567"/>
      <c r="B34" s="567"/>
      <c r="C34" s="23"/>
      <c r="D34" s="12" t="s">
        <v>46</v>
      </c>
      <c r="E34" s="24"/>
      <c r="F34" s="12" t="s">
        <v>45</v>
      </c>
      <c r="G34" s="20" t="s">
        <v>107</v>
      </c>
      <c r="H34" s="3" t="str">
        <f>IF($H$29=1,"-",IF($H$29=2,G37,"-"))</f>
        <v>-</v>
      </c>
    </row>
    <row r="35" spans="1:9" ht="6" customHeight="1" x14ac:dyDescent="0.2">
      <c r="A35" s="15"/>
      <c r="B35" s="15"/>
      <c r="C35" s="31"/>
      <c r="D35" s="12"/>
      <c r="E35" s="32"/>
      <c r="F35" s="12"/>
      <c r="G35" s="20" t="s">
        <v>108</v>
      </c>
      <c r="H35" s="3" t="str">
        <f>IF($H$29=1,"-",IF($H$29=2,G38,"-"))</f>
        <v>-</v>
      </c>
    </row>
    <row r="36" spans="1:9" ht="12.75" customHeight="1" x14ac:dyDescent="0.2">
      <c r="A36" s="15"/>
      <c r="B36" s="15"/>
      <c r="C36" s="23"/>
      <c r="D36" s="12" t="s">
        <v>129</v>
      </c>
      <c r="E36" s="32"/>
      <c r="F36" s="12"/>
      <c r="G36" s="20" t="s">
        <v>109</v>
      </c>
      <c r="H36" s="3" t="str">
        <f>IF($H$29=1,"-",IF($H$29=2,G39,"-"))</f>
        <v>-</v>
      </c>
    </row>
    <row r="37" spans="1:9" ht="6" customHeight="1" x14ac:dyDescent="0.2">
      <c r="A37" s="18"/>
      <c r="B37" s="18"/>
      <c r="C37" s="12"/>
      <c r="D37" s="12"/>
      <c r="E37" s="25"/>
      <c r="F37" s="12"/>
      <c r="G37" s="20" t="s">
        <v>110</v>
      </c>
      <c r="H37" s="3" t="str">
        <f>IF($H$29=1,"-",IF($H$29=2,G40,"-"))</f>
        <v>-</v>
      </c>
    </row>
    <row r="38" spans="1:9" ht="6" customHeight="1" x14ac:dyDescent="0.2">
      <c r="A38" s="15"/>
      <c r="B38" s="12"/>
      <c r="C38" s="12"/>
      <c r="D38" s="12"/>
      <c r="E38" s="12"/>
      <c r="F38" s="12"/>
      <c r="G38" s="20" t="s">
        <v>111</v>
      </c>
      <c r="H38" s="3" t="str">
        <f>IF($H$29=1,"-",IF($H$29=2,G41,"-"))</f>
        <v>-</v>
      </c>
    </row>
    <row r="39" spans="1:9" ht="12.75" customHeight="1" x14ac:dyDescent="0.2">
      <c r="A39" s="567" t="s">
        <v>61</v>
      </c>
      <c r="B39" s="677"/>
      <c r="C39" s="65"/>
      <c r="D39" s="31"/>
      <c r="E39" s="31"/>
      <c r="F39" s="31"/>
      <c r="G39" s="20" t="s">
        <v>113</v>
      </c>
      <c r="H39" s="219">
        <f>IF(OR(LEN(C41)=LEN(H30),LEN(C41)=LEN(H31),LEN(C41)=LEN(H32),LEN(C41)=LEN(H33),LEN(C41)=LEN(H34),LEN(C41)=LEN(H35),LEN(C41)=LEN(H36),LEN(C41)=LEN(H37),LEN(C41)=LEN(H38)),C41,0)</f>
        <v>0</v>
      </c>
      <c r="I39" s="2" t="b">
        <f>IF(C39="",FALSE,A39)</f>
        <v>0</v>
      </c>
    </row>
    <row r="40" spans="1:9" ht="6" customHeight="1" x14ac:dyDescent="0.2">
      <c r="A40" s="15"/>
      <c r="B40" s="12"/>
      <c r="C40" s="12"/>
      <c r="D40" s="12"/>
      <c r="E40" s="12"/>
      <c r="F40" s="12"/>
      <c r="G40" s="20" t="s">
        <v>114</v>
      </c>
      <c r="H40" s="3" t="s">
        <v>115</v>
      </c>
    </row>
    <row r="41" spans="1:9" ht="12.75" customHeight="1" x14ac:dyDescent="0.2">
      <c r="A41" s="567" t="s">
        <v>112</v>
      </c>
      <c r="B41" s="677"/>
      <c r="C41" s="568"/>
      <c r="D41" s="672"/>
      <c r="F41" s="31"/>
      <c r="G41" s="20" t="s">
        <v>116</v>
      </c>
      <c r="H41" s="3" t="s">
        <v>117</v>
      </c>
      <c r="I41" s="220" t="b">
        <f>IF(C41="",FALSE,IF(C41="-",FALSE,IF(H39&lt;&gt;C41,FALSE,A41)))</f>
        <v>0</v>
      </c>
    </row>
    <row r="42" spans="1:9" ht="6" customHeight="1" x14ac:dyDescent="0.2">
      <c r="A42" s="18"/>
      <c r="B42" s="18"/>
      <c r="C42" s="12"/>
      <c r="D42" s="12"/>
      <c r="E42" s="25"/>
      <c r="F42" s="12"/>
      <c r="G42" s="11" t="e">
        <f>MID(#REF!,1,1)</f>
        <v>#REF!</v>
      </c>
    </row>
    <row r="43" spans="1:9" ht="12.75" customHeight="1" x14ac:dyDescent="0.2">
      <c r="A43" s="567" t="s">
        <v>47</v>
      </c>
      <c r="B43" s="571"/>
      <c r="C43" s="699"/>
      <c r="D43" s="573"/>
      <c r="E43" s="573"/>
      <c r="F43" s="574"/>
      <c r="G43" s="7"/>
      <c r="I43" s="2" t="b">
        <f>IF(C43="",FALSE,IF(C43="-",FALSE,A43))</f>
        <v>0</v>
      </c>
    </row>
    <row r="44" spans="1:9" x14ac:dyDescent="0.2">
      <c r="A44" s="15"/>
      <c r="B44" s="12"/>
      <c r="C44" s="35"/>
      <c r="D44" s="34"/>
      <c r="E44" s="34"/>
      <c r="F44" s="34"/>
      <c r="G44" s="7"/>
      <c r="I44" s="2"/>
    </row>
    <row r="45" spans="1:9" ht="10.5" customHeight="1" x14ac:dyDescent="0.2">
      <c r="A45" s="15"/>
      <c r="B45" s="12"/>
      <c r="C45" s="21"/>
      <c r="D45" s="12"/>
      <c r="E45" s="21"/>
      <c r="F45" s="12"/>
      <c r="G45" s="7" t="s">
        <v>102</v>
      </c>
      <c r="H45" s="3">
        <f>IF($C$55="Hungary",1,IF($C$55="Croatia",2,0))</f>
        <v>0</v>
      </c>
    </row>
    <row r="46" spans="1:9" ht="19.5" customHeight="1" x14ac:dyDescent="0.2">
      <c r="A46" s="674" t="s">
        <v>131</v>
      </c>
      <c r="B46" s="675"/>
      <c r="C46" s="676"/>
      <c r="D46" s="676"/>
      <c r="E46" s="21"/>
      <c r="F46" s="12"/>
      <c r="G46" s="7" t="s">
        <v>103</v>
      </c>
      <c r="H46" s="3" t="s">
        <v>157</v>
      </c>
    </row>
    <row r="47" spans="1:9" ht="6" customHeight="1" x14ac:dyDescent="0.2">
      <c r="A47" s="15"/>
      <c r="B47" s="12"/>
      <c r="C47" s="21"/>
      <c r="D47" s="12"/>
      <c r="E47" s="21"/>
      <c r="F47" s="12"/>
      <c r="G47" s="3" t="s">
        <v>104</v>
      </c>
      <c r="H47" s="3" t="str">
        <f>IF($H$45=1,G47,IF($H$45=2,G50,"-"))</f>
        <v>-</v>
      </c>
    </row>
    <row r="48" spans="1:9" ht="25.5" customHeight="1" x14ac:dyDescent="0.2">
      <c r="A48" s="567" t="s">
        <v>118</v>
      </c>
      <c r="B48" s="567"/>
      <c r="C48" s="698"/>
      <c r="D48" s="680"/>
      <c r="E48" s="681"/>
      <c r="F48" s="12" t="s">
        <v>119</v>
      </c>
      <c r="G48" s="3" t="s">
        <v>105</v>
      </c>
      <c r="H48" s="3" t="str">
        <f>IF($H$45=1,G48,IF($H$45=2,G51,"-"))</f>
        <v>-</v>
      </c>
      <c r="I48" s="2">
        <f>IF(AND(C48&lt;&gt;"",C50&lt;&gt;"",E50&lt;&gt;"")=TRUE,A48,0)</f>
        <v>0</v>
      </c>
    </row>
    <row r="49" spans="1:9" ht="6" customHeight="1" x14ac:dyDescent="0.2">
      <c r="A49" s="567"/>
      <c r="B49" s="567"/>
      <c r="C49" s="12"/>
      <c r="D49" s="22"/>
      <c r="E49" s="22"/>
      <c r="F49" s="12"/>
      <c r="G49" s="3" t="s">
        <v>106</v>
      </c>
      <c r="H49" s="3" t="str">
        <f>IF($H$45=1,G49,IF($H$45=2,G52,"-"))</f>
        <v>-</v>
      </c>
    </row>
    <row r="50" spans="1:9" ht="25.5" x14ac:dyDescent="0.2">
      <c r="A50" s="567"/>
      <c r="B50" s="567"/>
      <c r="C50" s="23"/>
      <c r="D50" s="12" t="s">
        <v>46</v>
      </c>
      <c r="E50" s="24"/>
      <c r="F50" s="12" t="s">
        <v>45</v>
      </c>
      <c r="G50" s="20" t="s">
        <v>107</v>
      </c>
      <c r="H50" s="3" t="str">
        <f>IF($H$45=1,"-",IF($H$45=2,G53,"-"))</f>
        <v>-</v>
      </c>
    </row>
    <row r="51" spans="1:9" ht="6" customHeight="1" x14ac:dyDescent="0.2">
      <c r="A51" s="15"/>
      <c r="B51" s="15"/>
      <c r="C51" s="31"/>
      <c r="D51" s="12"/>
      <c r="E51" s="32"/>
      <c r="F51" s="12"/>
      <c r="G51" s="20" t="s">
        <v>108</v>
      </c>
      <c r="H51" s="3" t="str">
        <f>IF($H$45=1,"-",IF($H$45=2,G54,"-"))</f>
        <v>-</v>
      </c>
    </row>
    <row r="52" spans="1:9" ht="12.75" customHeight="1" x14ac:dyDescent="0.2">
      <c r="A52" s="15"/>
      <c r="B52" s="15"/>
      <c r="C52" s="23"/>
      <c r="D52" s="12" t="s">
        <v>129</v>
      </c>
      <c r="E52" s="32"/>
      <c r="F52" s="12"/>
      <c r="G52" s="20" t="s">
        <v>109</v>
      </c>
      <c r="H52" s="3" t="str">
        <f>IF($H$45=1,"-",IF($H$45=2,G55,"-"))</f>
        <v>-</v>
      </c>
    </row>
    <row r="53" spans="1:9" ht="6" customHeight="1" x14ac:dyDescent="0.2">
      <c r="A53" s="18"/>
      <c r="B53" s="18"/>
      <c r="C53" s="12"/>
      <c r="D53" s="12"/>
      <c r="E53" s="25"/>
      <c r="F53" s="12"/>
      <c r="G53" s="20" t="s">
        <v>110</v>
      </c>
      <c r="H53" s="3" t="str">
        <f>IF($H$45=1,"-",IF($H$45=2,G56,"-"))</f>
        <v>-</v>
      </c>
    </row>
    <row r="54" spans="1:9" ht="6" customHeight="1" x14ac:dyDescent="0.2">
      <c r="A54" s="15"/>
      <c r="B54" s="12"/>
      <c r="C54" s="12"/>
      <c r="D54" s="12"/>
      <c r="E54" s="12"/>
      <c r="F54" s="12"/>
      <c r="G54" s="20" t="s">
        <v>111</v>
      </c>
      <c r="H54" s="3" t="str">
        <f>IF($H$45=1,"-",IF($H$45=2,G57,"-"))</f>
        <v>-</v>
      </c>
    </row>
    <row r="55" spans="1:9" ht="12.75" customHeight="1" x14ac:dyDescent="0.2">
      <c r="A55" s="567" t="s">
        <v>61</v>
      </c>
      <c r="B55" s="677"/>
      <c r="C55" s="65"/>
      <c r="D55" s="31"/>
      <c r="E55" s="31"/>
      <c r="F55" s="31"/>
      <c r="G55" s="20" t="s">
        <v>113</v>
      </c>
      <c r="H55" s="219">
        <f>IF(OR(LEN(C57)=LEN(H46),LEN(C57)=LEN(H47),LEN(C57)=LEN(H48),LEN(C57)=LEN(H49),LEN(C57)=LEN(H50),LEN(C57)=LEN(H51),LEN(C57)=LEN(H52),LEN(C57)=LEN(H53),LEN(C57)=LEN(H54)),C57,0)</f>
        <v>0</v>
      </c>
      <c r="I55" s="2" t="b">
        <f>IF(C55="",FALSE,A55)</f>
        <v>0</v>
      </c>
    </row>
    <row r="56" spans="1:9" ht="6" customHeight="1" x14ac:dyDescent="0.2">
      <c r="A56" s="15"/>
      <c r="B56" s="12"/>
      <c r="C56" s="12"/>
      <c r="D56" s="12"/>
      <c r="E56" s="12"/>
      <c r="F56" s="12"/>
      <c r="G56" s="20" t="s">
        <v>114</v>
      </c>
      <c r="H56" s="3" t="s">
        <v>115</v>
      </c>
    </row>
    <row r="57" spans="1:9" ht="12.75" customHeight="1" x14ac:dyDescent="0.2">
      <c r="A57" s="567" t="s">
        <v>112</v>
      </c>
      <c r="B57" s="677"/>
      <c r="C57" s="568"/>
      <c r="D57" s="672"/>
      <c r="F57" s="31"/>
      <c r="G57" s="20" t="s">
        <v>116</v>
      </c>
      <c r="H57" s="3" t="s">
        <v>117</v>
      </c>
      <c r="I57" s="220" t="b">
        <f>IF(C57="",FALSE,IF(C57="-",FALSE,IF(H55&lt;&gt;C57,FALSE,A57)))</f>
        <v>0</v>
      </c>
    </row>
    <row r="58" spans="1:9" ht="6" customHeight="1" x14ac:dyDescent="0.2">
      <c r="A58" s="18"/>
      <c r="B58" s="18"/>
      <c r="C58" s="12"/>
      <c r="D58" s="12"/>
      <c r="E58" s="25"/>
      <c r="F58" s="12"/>
      <c r="G58" s="11" t="e">
        <f>MID(#REF!,1,1)</f>
        <v>#REF!</v>
      </c>
    </row>
    <row r="59" spans="1:9" ht="15" customHeight="1" x14ac:dyDescent="0.2">
      <c r="A59" s="18"/>
      <c r="B59" s="18"/>
      <c r="C59" s="12"/>
      <c r="D59" s="12"/>
      <c r="E59" s="25"/>
      <c r="F59" s="12"/>
      <c r="G59" s="11" t="s">
        <v>130</v>
      </c>
    </row>
    <row r="60" spans="1:9" ht="10.5" customHeight="1" x14ac:dyDescent="0.2">
      <c r="A60" s="15"/>
      <c r="B60" s="12"/>
      <c r="C60" s="21"/>
      <c r="D60" s="12"/>
      <c r="E60" s="21"/>
      <c r="F60" s="12"/>
      <c r="G60" s="7" t="s">
        <v>102</v>
      </c>
      <c r="H60" s="3">
        <f>IF($C$70="Hungary",1,IF($C$70="Croatia",2,0))</f>
        <v>0</v>
      </c>
    </row>
    <row r="61" spans="1:9" ht="19.5" customHeight="1" x14ac:dyDescent="0.2">
      <c r="A61" s="674" t="s">
        <v>74</v>
      </c>
      <c r="B61" s="675"/>
      <c r="C61" s="676"/>
      <c r="D61" s="676"/>
      <c r="E61" s="21"/>
      <c r="F61" s="12"/>
      <c r="G61" s="7" t="s">
        <v>103</v>
      </c>
    </row>
    <row r="62" spans="1:9" ht="6" customHeight="1" x14ac:dyDescent="0.2">
      <c r="A62" s="15"/>
      <c r="B62" s="12"/>
      <c r="C62" s="21"/>
      <c r="D62" s="12"/>
      <c r="E62" s="21"/>
      <c r="F62" s="12"/>
      <c r="G62" s="3" t="s">
        <v>104</v>
      </c>
      <c r="H62" s="3" t="str">
        <f>IF($H$60=1,G62,IF($H$60=2,G65,"-"))</f>
        <v>-</v>
      </c>
    </row>
    <row r="63" spans="1:9" ht="25.5" customHeight="1" x14ac:dyDescent="0.2">
      <c r="A63" s="567" t="s">
        <v>118</v>
      </c>
      <c r="B63" s="567"/>
      <c r="C63" s="698"/>
      <c r="D63" s="680"/>
      <c r="E63" s="681"/>
      <c r="F63" s="12" t="s">
        <v>119</v>
      </c>
      <c r="G63" s="3" t="s">
        <v>105</v>
      </c>
      <c r="H63" s="3" t="str">
        <f>IF($H$60=1,G63,IF($H$60=2,G66,"-"))</f>
        <v>-</v>
      </c>
      <c r="I63" s="2">
        <f>IF(AND(C63&lt;&gt;"",C65&lt;&gt;"",E65&lt;&gt;"")=TRUE,A63,0)</f>
        <v>0</v>
      </c>
    </row>
    <row r="64" spans="1:9" ht="6" customHeight="1" x14ac:dyDescent="0.2">
      <c r="A64" s="567"/>
      <c r="B64" s="567"/>
      <c r="C64" s="12"/>
      <c r="D64" s="22"/>
      <c r="E64" s="22"/>
      <c r="F64" s="12"/>
      <c r="G64" s="3" t="s">
        <v>106</v>
      </c>
      <c r="H64" s="3" t="str">
        <f>IF($H$60=1,G64,IF($H$60=2,G67,"-"))</f>
        <v>-</v>
      </c>
    </row>
    <row r="65" spans="1:9" ht="25.5" x14ac:dyDescent="0.2">
      <c r="A65" s="567"/>
      <c r="B65" s="567"/>
      <c r="C65" s="23"/>
      <c r="D65" s="12" t="s">
        <v>46</v>
      </c>
      <c r="E65" s="24"/>
      <c r="F65" s="12" t="s">
        <v>45</v>
      </c>
      <c r="G65" s="20" t="s">
        <v>107</v>
      </c>
      <c r="H65" s="3" t="str">
        <f>IF($H$60=1,"-",IF($H$60=2,G68,"-"))</f>
        <v>-</v>
      </c>
    </row>
    <row r="66" spans="1:9" ht="6" customHeight="1" x14ac:dyDescent="0.2">
      <c r="A66" s="15"/>
      <c r="B66" s="15"/>
      <c r="C66" s="31"/>
      <c r="D66" s="12"/>
      <c r="E66" s="32"/>
      <c r="F66" s="12"/>
      <c r="G66" s="20" t="s">
        <v>108</v>
      </c>
      <c r="H66" s="3" t="str">
        <f>IF($H$60=1,"-",IF($H$60=2,G69,"-"))</f>
        <v>-</v>
      </c>
    </row>
    <row r="67" spans="1:9" ht="12.75" customHeight="1" x14ac:dyDescent="0.2">
      <c r="A67" s="15"/>
      <c r="B67" s="15"/>
      <c r="C67" s="23"/>
      <c r="D67" s="12" t="s">
        <v>129</v>
      </c>
      <c r="E67" s="32"/>
      <c r="F67" s="12"/>
      <c r="G67" s="20" t="s">
        <v>109</v>
      </c>
      <c r="H67" s="3" t="str">
        <f>IF($H$60=1,"-",IF($H$60=2,G70,"-"))</f>
        <v>-</v>
      </c>
    </row>
    <row r="68" spans="1:9" ht="6" customHeight="1" x14ac:dyDescent="0.2">
      <c r="A68" s="18"/>
      <c r="B68" s="18"/>
      <c r="C68" s="12"/>
      <c r="D68" s="12"/>
      <c r="E68" s="25"/>
      <c r="F68" s="12"/>
      <c r="G68" s="20" t="s">
        <v>110</v>
      </c>
      <c r="H68" s="3" t="str">
        <f>IF($H$60=1,"-",IF($H$60=2,G71,"-"))</f>
        <v>-</v>
      </c>
    </row>
    <row r="69" spans="1:9" ht="6" customHeight="1" x14ac:dyDescent="0.2">
      <c r="A69" s="15"/>
      <c r="B69" s="12"/>
      <c r="C69" s="12"/>
      <c r="D69" s="12"/>
      <c r="E69" s="12"/>
      <c r="F69" s="12"/>
      <c r="G69" s="20" t="s">
        <v>111</v>
      </c>
      <c r="H69" s="3" t="str">
        <f>IF($H$60=1,"-",IF($H$60=2,G72,"-"))</f>
        <v>-</v>
      </c>
    </row>
    <row r="70" spans="1:9" ht="12.75" customHeight="1" x14ac:dyDescent="0.2">
      <c r="A70" s="567" t="s">
        <v>61</v>
      </c>
      <c r="B70" s="677"/>
      <c r="C70" s="65"/>
      <c r="D70" s="31"/>
      <c r="E70" s="31"/>
      <c r="F70" s="31"/>
      <c r="G70" s="20" t="s">
        <v>113</v>
      </c>
      <c r="H70" s="219">
        <f>IF(OR(LEN(C72)=LEN(H61),LEN(C72)=LEN(H62),LEN(C72)=LEN(H63),LEN(C72)=LEN(H64),LEN(C72)=LEN(H65),LEN(C72)=LEN(H66),LEN(C72)=LEN(H67),LEN(C72)=LEN(H68),LEN(C72)=LEN(H69)),C72,0)</f>
        <v>0</v>
      </c>
      <c r="I70" s="2" t="b">
        <f>IF(C70="",FALSE,A70)</f>
        <v>0</v>
      </c>
    </row>
    <row r="71" spans="1:9" ht="6" customHeight="1" x14ac:dyDescent="0.2">
      <c r="A71" s="15"/>
      <c r="B71" s="12"/>
      <c r="C71" s="12"/>
      <c r="D71" s="12"/>
      <c r="E71" s="12"/>
      <c r="F71" s="12"/>
      <c r="G71" s="20" t="s">
        <v>114</v>
      </c>
      <c r="H71" s="3" t="s">
        <v>115</v>
      </c>
    </row>
    <row r="72" spans="1:9" ht="12.75" customHeight="1" x14ac:dyDescent="0.2">
      <c r="A72" s="567" t="s">
        <v>112</v>
      </c>
      <c r="B72" s="677"/>
      <c r="C72" s="568"/>
      <c r="D72" s="672"/>
      <c r="F72" s="31"/>
      <c r="G72" s="20" t="s">
        <v>116</v>
      </c>
      <c r="H72" s="3" t="s">
        <v>117</v>
      </c>
      <c r="I72" s="220" t="b">
        <f>IF(C72="",FALSE,IF(H70&lt;&gt;C72,FALSE,A72))</f>
        <v>0</v>
      </c>
    </row>
    <row r="73" spans="1:9" ht="6" customHeight="1" x14ac:dyDescent="0.2">
      <c r="A73" s="18"/>
      <c r="B73" s="18"/>
      <c r="C73" s="12"/>
      <c r="D73" s="12"/>
      <c r="E73" s="25"/>
      <c r="F73" s="12"/>
      <c r="G73" s="11" t="e">
        <f>MID(#REF!,1,1)</f>
        <v>#REF!</v>
      </c>
    </row>
    <row r="74" spans="1:9" ht="6" customHeight="1" x14ac:dyDescent="0.2">
      <c r="A74" s="18"/>
      <c r="B74" s="18"/>
      <c r="C74" s="12"/>
      <c r="D74" s="12"/>
      <c r="E74" s="25"/>
      <c r="F74" s="12"/>
      <c r="G74" s="11"/>
    </row>
    <row r="75" spans="1:9" ht="19.5" customHeight="1" x14ac:dyDescent="0.2">
      <c r="A75" s="674" t="s">
        <v>83</v>
      </c>
      <c r="B75" s="675"/>
      <c r="C75" s="676"/>
      <c r="D75" s="676"/>
      <c r="E75" s="21"/>
      <c r="F75" s="12"/>
      <c r="G75" s="7"/>
    </row>
    <row r="76" spans="1:9" ht="9" customHeight="1" x14ac:dyDescent="0.2">
      <c r="A76" s="18"/>
      <c r="B76" s="18"/>
      <c r="C76" s="12"/>
      <c r="D76" s="12"/>
      <c r="E76" s="25"/>
      <c r="F76" s="12"/>
      <c r="G76" s="3">
        <f>IF(G78=FALSE,C41,FALSE)</f>
        <v>0</v>
      </c>
    </row>
    <row r="77" spans="1:9" x14ac:dyDescent="0.2">
      <c r="A77" s="567" t="s">
        <v>120</v>
      </c>
      <c r="B77" s="567"/>
      <c r="C77" s="66"/>
      <c r="D77" s="25" t="s">
        <v>121</v>
      </c>
      <c r="E77" s="23"/>
      <c r="F77" s="25" t="s">
        <v>122</v>
      </c>
      <c r="G77" s="3" t="e">
        <f>MATCH(C41,H31:H38,0)</f>
        <v>#N/A</v>
      </c>
      <c r="I77" s="2">
        <f>IF(AND(C77&lt;&gt;"",C79&lt;&gt;"",E77&lt;&gt;"",E79&lt;&gt;"")=TRUE,A77,0)</f>
        <v>0</v>
      </c>
    </row>
    <row r="78" spans="1:9" ht="6" customHeight="1" x14ac:dyDescent="0.2">
      <c r="A78" s="567"/>
      <c r="B78" s="567"/>
      <c r="C78" s="25"/>
      <c r="D78" s="25"/>
      <c r="E78" s="25"/>
      <c r="F78" s="25"/>
      <c r="G78" s="3" t="b">
        <f>ISERR(G77)</f>
        <v>0</v>
      </c>
    </row>
    <row r="79" spans="1:9" x14ac:dyDescent="0.2">
      <c r="A79" s="567"/>
      <c r="B79" s="567"/>
      <c r="C79" s="23"/>
      <c r="D79" s="25" t="s">
        <v>48</v>
      </c>
      <c r="E79" s="23"/>
      <c r="F79" s="25" t="s">
        <v>123</v>
      </c>
      <c r="I79" s="2"/>
    </row>
    <row r="80" spans="1:9" ht="6" customHeight="1" x14ac:dyDescent="0.2">
      <c r="A80" s="26"/>
      <c r="B80" s="26"/>
      <c r="C80" s="25"/>
      <c r="D80" s="25"/>
      <c r="E80" s="25"/>
      <c r="F80" s="25"/>
    </row>
    <row r="81" spans="1:9" ht="12.75" customHeight="1" x14ac:dyDescent="0.2">
      <c r="A81" s="567" t="s">
        <v>403</v>
      </c>
      <c r="B81" s="571"/>
      <c r="C81" s="218"/>
      <c r="D81" s="12" t="s">
        <v>62</v>
      </c>
      <c r="E81" s="215"/>
      <c r="F81" s="25" t="s">
        <v>404</v>
      </c>
      <c r="I81" s="2" t="b">
        <f>IF(C81="",FALSE,A81)</f>
        <v>0</v>
      </c>
    </row>
    <row r="82" spans="1:9" ht="6" customHeight="1" x14ac:dyDescent="0.2">
      <c r="A82" s="15"/>
      <c r="B82" s="12"/>
      <c r="C82" s="12"/>
      <c r="D82" s="12"/>
      <c r="E82" s="25"/>
      <c r="F82" s="25"/>
    </row>
    <row r="83" spans="1:9" x14ac:dyDescent="0.2">
      <c r="A83" s="567" t="s">
        <v>49</v>
      </c>
      <c r="B83" s="571"/>
      <c r="C83" s="673"/>
      <c r="D83" s="573"/>
      <c r="E83" s="573"/>
      <c r="F83" s="574"/>
      <c r="G83" s="7"/>
      <c r="I83" s="2" t="b">
        <f>IF(AND(NOT(ISERROR(SEARCH("@",C83)&gt;0)),C83&lt;&gt;""),A83,FALSE)</f>
        <v>0</v>
      </c>
    </row>
    <row r="84" spans="1:9" ht="15" x14ac:dyDescent="0.2">
      <c r="A84" s="14"/>
      <c r="G84" s="7"/>
    </row>
    <row r="85" spans="1:9" ht="19.5" customHeight="1" x14ac:dyDescent="0.2">
      <c r="A85" s="674" t="s">
        <v>68</v>
      </c>
      <c r="B85" s="675"/>
      <c r="C85" s="676"/>
      <c r="D85" s="676"/>
      <c r="E85" s="21"/>
      <c r="F85" s="12"/>
      <c r="G85" s="7"/>
    </row>
    <row r="86" spans="1:9" ht="9" customHeight="1" x14ac:dyDescent="0.2">
      <c r="A86" s="18"/>
      <c r="B86" s="18"/>
      <c r="C86" s="12"/>
      <c r="D86" s="12"/>
      <c r="E86" s="25"/>
      <c r="F86" s="12"/>
    </row>
    <row r="87" spans="1:9" x14ac:dyDescent="0.2">
      <c r="A87" s="567" t="s">
        <v>120</v>
      </c>
      <c r="B87" s="567"/>
      <c r="C87" s="66"/>
      <c r="D87" s="25" t="s">
        <v>121</v>
      </c>
      <c r="E87" s="23"/>
      <c r="F87" s="25" t="s">
        <v>122</v>
      </c>
      <c r="I87" s="2">
        <f>IF(AND(C87&lt;&gt;"",C89&lt;&gt;"",E87&lt;&gt;"",E89&lt;&gt;"")=TRUE,A87,0)</f>
        <v>0</v>
      </c>
    </row>
    <row r="88" spans="1:9" ht="6" customHeight="1" x14ac:dyDescent="0.2">
      <c r="A88" s="567"/>
      <c r="B88" s="567"/>
      <c r="C88" s="25"/>
      <c r="D88" s="25"/>
      <c r="E88" s="25"/>
      <c r="F88" s="25"/>
    </row>
    <row r="89" spans="1:9" x14ac:dyDescent="0.2">
      <c r="A89" s="567"/>
      <c r="B89" s="567"/>
      <c r="C89" s="23"/>
      <c r="D89" s="25" t="s">
        <v>48</v>
      </c>
      <c r="E89" s="23"/>
      <c r="F89" s="25" t="s">
        <v>123</v>
      </c>
      <c r="I89" s="2"/>
    </row>
    <row r="90" spans="1:9" ht="6" customHeight="1" x14ac:dyDescent="0.2">
      <c r="A90" s="26"/>
      <c r="B90" s="26"/>
      <c r="C90" s="25"/>
      <c r="D90" s="25"/>
      <c r="E90" s="25"/>
      <c r="F90" s="25"/>
    </row>
    <row r="91" spans="1:9" ht="12.75" customHeight="1" x14ac:dyDescent="0.2">
      <c r="A91" s="567" t="s">
        <v>403</v>
      </c>
      <c r="B91" s="571"/>
      <c r="C91" s="218"/>
      <c r="D91" s="12" t="s">
        <v>62</v>
      </c>
      <c r="E91" s="215"/>
      <c r="F91" s="25" t="s">
        <v>404</v>
      </c>
      <c r="I91" s="2" t="b">
        <f>IF(C91="",FALSE,A91)</f>
        <v>0</v>
      </c>
    </row>
    <row r="92" spans="1:9" ht="6" customHeight="1" x14ac:dyDescent="0.2">
      <c r="A92" s="15"/>
      <c r="B92" s="12"/>
      <c r="C92" s="12"/>
      <c r="D92" s="12"/>
      <c r="E92" s="25"/>
      <c r="F92" s="25"/>
    </row>
    <row r="93" spans="1:9" x14ac:dyDescent="0.2">
      <c r="A93" s="567" t="s">
        <v>49</v>
      </c>
      <c r="B93" s="571"/>
      <c r="C93" s="673"/>
      <c r="D93" s="573"/>
      <c r="E93" s="573"/>
      <c r="F93" s="574"/>
      <c r="G93" s="7"/>
      <c r="I93" s="2" t="b">
        <f>IF(AND(NOT(ISERROR(SEARCH("@",C93)&gt;0)),C93&lt;&gt;""),A93,FALSE)</f>
        <v>0</v>
      </c>
    </row>
    <row r="94" spans="1:9" ht="15" x14ac:dyDescent="0.2">
      <c r="A94" s="14"/>
      <c r="G94" s="7"/>
    </row>
    <row r="95" spans="1:9" ht="15" x14ac:dyDescent="0.2">
      <c r="A95" s="14"/>
    </row>
    <row r="96" spans="1:9" x14ac:dyDescent="0.2">
      <c r="A96" s="674" t="s">
        <v>70</v>
      </c>
      <c r="B96" s="675"/>
      <c r="C96" s="676"/>
      <c r="D96" s="676"/>
      <c r="G96" s="7">
        <v>2014</v>
      </c>
    </row>
    <row r="97" spans="1:10" ht="15" x14ac:dyDescent="0.2">
      <c r="A97" s="14"/>
      <c r="G97" s="7">
        <v>2015</v>
      </c>
    </row>
    <row r="98" spans="1:10" ht="12.75" customHeight="1" x14ac:dyDescent="0.2">
      <c r="A98" s="567" t="s">
        <v>40</v>
      </c>
      <c r="B98" s="667"/>
      <c r="C98" s="668"/>
      <c r="E98" s="65"/>
      <c r="F98" s="7" t="s">
        <v>125</v>
      </c>
      <c r="G98" s="7">
        <v>2016</v>
      </c>
      <c r="I98" s="2" t="b">
        <f>IF(E98="",FALSE,A98)</f>
        <v>0</v>
      </c>
    </row>
    <row r="99" spans="1:10" ht="6" customHeight="1" x14ac:dyDescent="0.2"/>
    <row r="100" spans="1:10" ht="12.75" customHeight="1" x14ac:dyDescent="0.2">
      <c r="A100" s="15" t="s">
        <v>71</v>
      </c>
      <c r="B100" s="28"/>
      <c r="C100" s="216"/>
      <c r="D100" s="7" t="s">
        <v>132</v>
      </c>
      <c r="E100" s="40" t="s">
        <v>135</v>
      </c>
      <c r="F100" s="65"/>
      <c r="G100" s="7" t="s">
        <v>59</v>
      </c>
      <c r="H100" s="3" t="b">
        <f>ISBLANK(F100)</f>
        <v>1</v>
      </c>
      <c r="I100" s="2" t="b">
        <f>IF(C100="",FALSE,A100)</f>
        <v>0</v>
      </c>
      <c r="J100" s="2" t="b">
        <f>IF(F100="",FALSE,E100)</f>
        <v>0</v>
      </c>
    </row>
    <row r="101" spans="1:10" ht="6" customHeight="1" x14ac:dyDescent="0.25">
      <c r="A101" s="27"/>
      <c r="G101" s="7" t="s">
        <v>133</v>
      </c>
    </row>
    <row r="102" spans="1:10" ht="12.75" customHeight="1" x14ac:dyDescent="0.2">
      <c r="A102" s="567" t="s">
        <v>72</v>
      </c>
      <c r="B102" s="667"/>
      <c r="C102" s="668"/>
      <c r="E102" s="217"/>
      <c r="F102" s="38" t="str">
        <f>IF(H$100=FALSE,F$100,"")</f>
        <v/>
      </c>
      <c r="G102" s="7" t="s">
        <v>134</v>
      </c>
      <c r="I102" s="2" t="b">
        <f>IF(E102="",FALSE,A102)</f>
        <v>0</v>
      </c>
    </row>
    <row r="103" spans="1:10" ht="6" customHeight="1" x14ac:dyDescent="0.2">
      <c r="A103" s="15"/>
      <c r="B103" s="15"/>
      <c r="C103" s="36"/>
      <c r="E103" s="37"/>
      <c r="F103" s="38"/>
      <c r="G103" s="7" t="s">
        <v>130</v>
      </c>
      <c r="I103" s="2"/>
    </row>
    <row r="104" spans="1:10" ht="12.75" customHeight="1" x14ac:dyDescent="0.2">
      <c r="A104" s="567" t="s">
        <v>29</v>
      </c>
      <c r="B104" s="667"/>
      <c r="C104" s="668"/>
      <c r="E104" s="217"/>
      <c r="F104" s="38" t="str">
        <f>IF(H$100=FALSE,F$100,"")</f>
        <v/>
      </c>
      <c r="G104" s="7"/>
      <c r="I104" s="2" t="b">
        <f>IF(E104="",FALSE,A104)</f>
        <v>0</v>
      </c>
    </row>
    <row r="105" spans="1:10" ht="6" customHeight="1" x14ac:dyDescent="0.2">
      <c r="F105" s="38"/>
    </row>
    <row r="106" spans="1:10" ht="12.75" customHeight="1" x14ac:dyDescent="0.2">
      <c r="A106" s="567" t="s">
        <v>73</v>
      </c>
      <c r="B106" s="667"/>
      <c r="C106" s="668"/>
      <c r="E106" s="217"/>
      <c r="F106" s="38" t="str">
        <f>IF(H$100=FALSE,F$100,"")</f>
        <v/>
      </c>
      <c r="G106" s="7"/>
      <c r="I106" s="2" t="b">
        <f>IF(E106="",FALSE,A106)</f>
        <v>0</v>
      </c>
    </row>
    <row r="107" spans="1:10" ht="6" customHeight="1" x14ac:dyDescent="0.2"/>
    <row r="108" spans="1:10" x14ac:dyDescent="0.2">
      <c r="A108" s="567" t="s">
        <v>164</v>
      </c>
      <c r="B108" s="667"/>
      <c r="C108" s="668"/>
      <c r="D108" s="668"/>
      <c r="E108" s="668"/>
      <c r="F108" s="210"/>
      <c r="I108" s="2" t="b">
        <f>IF(F108="",FALSE,A108)</f>
        <v>0</v>
      </c>
    </row>
  </sheetData>
  <sheetProtection password="F58B" sheet="1" selectLockedCells="1"/>
  <mergeCells count="63">
    <mergeCell ref="A9:B9"/>
    <mergeCell ref="C9:F9"/>
    <mergeCell ref="J1:K1"/>
    <mergeCell ref="A2:F2"/>
    <mergeCell ref="A5:B5"/>
    <mergeCell ref="C5:F5"/>
    <mergeCell ref="A7:B7"/>
    <mergeCell ref="C7:F7"/>
    <mergeCell ref="A17:B17"/>
    <mergeCell ref="A19:B19"/>
    <mergeCell ref="C19:F19"/>
    <mergeCell ref="A11:B11"/>
    <mergeCell ref="A13:B13"/>
    <mergeCell ref="C13:D13"/>
    <mergeCell ref="A15:B15"/>
    <mergeCell ref="C15:D15"/>
    <mergeCell ref="E11:F14"/>
    <mergeCell ref="D17:E17"/>
    <mergeCell ref="A21:B21"/>
    <mergeCell ref="C21:F21"/>
    <mergeCell ref="A30:D30"/>
    <mergeCell ref="A32:B34"/>
    <mergeCell ref="C32:E32"/>
    <mergeCell ref="A23:B23"/>
    <mergeCell ref="C23:D23"/>
    <mergeCell ref="A25:B25"/>
    <mergeCell ref="C25:D25"/>
    <mergeCell ref="A27:B27"/>
    <mergeCell ref="C27:D27"/>
    <mergeCell ref="E23:F23"/>
    <mergeCell ref="A39:B39"/>
    <mergeCell ref="A41:B41"/>
    <mergeCell ref="C41:D41"/>
    <mergeCell ref="A55:B55"/>
    <mergeCell ref="A57:B57"/>
    <mergeCell ref="C57:D57"/>
    <mergeCell ref="A83:B83"/>
    <mergeCell ref="C83:F83"/>
    <mergeCell ref="A85:D85"/>
    <mergeCell ref="A96:D96"/>
    <mergeCell ref="A93:B93"/>
    <mergeCell ref="C93:F93"/>
    <mergeCell ref="A75:D75"/>
    <mergeCell ref="A77:B79"/>
    <mergeCell ref="A70:B70"/>
    <mergeCell ref="A72:B72"/>
    <mergeCell ref="C72:D72"/>
    <mergeCell ref="A63:B65"/>
    <mergeCell ref="C63:E63"/>
    <mergeCell ref="A106:C106"/>
    <mergeCell ref="A108:E108"/>
    <mergeCell ref="A43:B43"/>
    <mergeCell ref="C43:F43"/>
    <mergeCell ref="A46:D46"/>
    <mergeCell ref="A48:B50"/>
    <mergeCell ref="C48:E48"/>
    <mergeCell ref="A91:B91"/>
    <mergeCell ref="A87:B89"/>
    <mergeCell ref="A102:C102"/>
    <mergeCell ref="A104:C104"/>
    <mergeCell ref="A98:C98"/>
    <mergeCell ref="A61:D61"/>
    <mergeCell ref="A81:B81"/>
  </mergeCells>
  <phoneticPr fontId="3" type="noConversion"/>
  <conditionalFormatting sqref="A32:B36">
    <cfRule type="cellIs" dxfId="332" priority="39" stopIfTrue="1" operator="notEqual">
      <formula>$I$32</formula>
    </cfRule>
  </conditionalFormatting>
  <conditionalFormatting sqref="A77:B79 A87:B89">
    <cfRule type="cellIs" dxfId="331" priority="38" stopIfTrue="1" operator="notEqual">
      <formula>$I$77</formula>
    </cfRule>
  </conditionalFormatting>
  <conditionalFormatting sqref="A83:B83">
    <cfRule type="cellIs" dxfId="330" priority="37" stopIfTrue="1" operator="notEqual">
      <formula>$I$83</formula>
    </cfRule>
  </conditionalFormatting>
  <conditionalFormatting sqref="A15:B15">
    <cfRule type="cellIs" dxfId="329" priority="36" stopIfTrue="1" operator="notEqual">
      <formula>$I$15</formula>
    </cfRule>
  </conditionalFormatting>
  <conditionalFormatting sqref="A17:B17">
    <cfRule type="cellIs" dxfId="328" priority="35" stopIfTrue="1" operator="notEqual">
      <formula>$I$17</formula>
    </cfRule>
  </conditionalFormatting>
  <conditionalFormatting sqref="A23:B23">
    <cfRule type="cellIs" dxfId="327" priority="34" stopIfTrue="1" operator="notEqual">
      <formula>$I$23</formula>
    </cfRule>
  </conditionalFormatting>
  <conditionalFormatting sqref="A25:B25">
    <cfRule type="cellIs" dxfId="326" priority="33" stopIfTrue="1" operator="notEqual">
      <formula>$I$25</formula>
    </cfRule>
  </conditionalFormatting>
  <conditionalFormatting sqref="A27:B28">
    <cfRule type="cellIs" dxfId="325" priority="32" stopIfTrue="1" operator="notEqual">
      <formula>$I$27</formula>
    </cfRule>
  </conditionalFormatting>
  <conditionalFormatting sqref="A43:B45 A56:B56 A47:B47 A53:B54 A58:B60 A73:B74 A71:B71 A62:B62 A68:B69">
    <cfRule type="cellIs" dxfId="324" priority="31" stopIfTrue="1" operator="notEqual">
      <formula>$I$43</formula>
    </cfRule>
  </conditionalFormatting>
  <conditionalFormatting sqref="A48:B50">
    <cfRule type="cellIs" dxfId="323" priority="30" stopIfTrue="1" operator="notEqual">
      <formula>$I$48</formula>
    </cfRule>
  </conditionalFormatting>
  <conditionalFormatting sqref="A55:B55">
    <cfRule type="cellIs" dxfId="322" priority="29" stopIfTrue="1" operator="notEqual">
      <formula>$I$55</formula>
    </cfRule>
  </conditionalFormatting>
  <conditionalFormatting sqref="A57:B57">
    <cfRule type="cellIs" dxfId="321" priority="28" stopIfTrue="1" operator="notEqual">
      <formula>$I$57</formula>
    </cfRule>
  </conditionalFormatting>
  <conditionalFormatting sqref="A63:B65">
    <cfRule type="cellIs" dxfId="320" priority="27" stopIfTrue="1" operator="notEqual">
      <formula>$I$63</formula>
    </cfRule>
  </conditionalFormatting>
  <conditionalFormatting sqref="A70:B70">
    <cfRule type="cellIs" dxfId="319" priority="26" stopIfTrue="1" operator="notEqual">
      <formula>$I$70</formula>
    </cfRule>
  </conditionalFormatting>
  <conditionalFormatting sqref="A72:B72">
    <cfRule type="cellIs" dxfId="318" priority="25" stopIfTrue="1" operator="notEqual">
      <formula>$I$72</formula>
    </cfRule>
  </conditionalFormatting>
  <conditionalFormatting sqref="A98:C98">
    <cfRule type="cellIs" dxfId="317" priority="24" stopIfTrue="1" operator="notEqual">
      <formula>$I$98</formula>
    </cfRule>
  </conditionalFormatting>
  <conditionalFormatting sqref="A100">
    <cfRule type="cellIs" dxfId="316" priority="23" stopIfTrue="1" operator="notEqual">
      <formula>$I$100</formula>
    </cfRule>
  </conditionalFormatting>
  <conditionalFormatting sqref="E100">
    <cfRule type="cellIs" dxfId="315" priority="22" stopIfTrue="1" operator="notEqual">
      <formula>$J$100</formula>
    </cfRule>
  </conditionalFormatting>
  <conditionalFormatting sqref="A102:C102">
    <cfRule type="cellIs" dxfId="314" priority="21" stopIfTrue="1" operator="notEqual">
      <formula>$I$102</formula>
    </cfRule>
  </conditionalFormatting>
  <conditionalFormatting sqref="A104:C104">
    <cfRule type="cellIs" dxfId="313" priority="20" stopIfTrue="1" operator="notEqual">
      <formula>$I$104</formula>
    </cfRule>
  </conditionalFormatting>
  <conditionalFormatting sqref="A106:C106">
    <cfRule type="cellIs" dxfId="312" priority="19" stopIfTrue="1" operator="notEqual">
      <formula>$I$106</formula>
    </cfRule>
  </conditionalFormatting>
  <conditionalFormatting sqref="A108:E108">
    <cfRule type="cellIs" dxfId="311" priority="18" stopIfTrue="1" operator="notEqual">
      <formula>$I$108</formula>
    </cfRule>
  </conditionalFormatting>
  <conditionalFormatting sqref="A93:B93">
    <cfRule type="cellIs" dxfId="310" priority="16" stopIfTrue="1" operator="notEqual">
      <formula>$I$93</formula>
    </cfRule>
  </conditionalFormatting>
  <conditionalFormatting sqref="E11:F14">
    <cfRule type="cellIs" dxfId="309" priority="15" stopIfTrue="1" operator="equal">
      <formula>$K$11</formula>
    </cfRule>
  </conditionalFormatting>
  <conditionalFormatting sqref="A81:B81">
    <cfRule type="cellIs" dxfId="308" priority="14" stopIfTrue="1" operator="notEqual">
      <formula>$I$81</formula>
    </cfRule>
  </conditionalFormatting>
  <conditionalFormatting sqref="A91:B91">
    <cfRule type="cellIs" dxfId="307" priority="13" stopIfTrue="1" operator="notEqual">
      <formula>$I$91</formula>
    </cfRule>
  </conditionalFormatting>
  <conditionalFormatting sqref="A5:B5">
    <cfRule type="cellIs" dxfId="306" priority="12" stopIfTrue="1" operator="notEqual">
      <formula>$I$5</formula>
    </cfRule>
  </conditionalFormatting>
  <conditionalFormatting sqref="A7:B7">
    <cfRule type="cellIs" dxfId="305" priority="11" stopIfTrue="1" operator="notEqual">
      <formula>$I$7</formula>
    </cfRule>
  </conditionalFormatting>
  <conditionalFormatting sqref="A9:B9">
    <cfRule type="cellIs" dxfId="304" priority="10" stopIfTrue="1" operator="notEqual">
      <formula>$I$9</formula>
    </cfRule>
  </conditionalFormatting>
  <conditionalFormatting sqref="A19:B19">
    <cfRule type="cellIs" dxfId="303" priority="9" stopIfTrue="1" operator="notEqual">
      <formula>$I$19</formula>
    </cfRule>
  </conditionalFormatting>
  <conditionalFormatting sqref="A21:B21">
    <cfRule type="cellIs" dxfId="302" priority="8" stopIfTrue="1" operator="notEqual">
      <formula>$I$21</formula>
    </cfRule>
  </conditionalFormatting>
  <conditionalFormatting sqref="A11:B11">
    <cfRule type="cellIs" dxfId="301" priority="7" stopIfTrue="1" operator="notEqual">
      <formula>$I$11</formula>
    </cfRule>
  </conditionalFormatting>
  <conditionalFormatting sqref="A13:B13">
    <cfRule type="cellIs" dxfId="300" priority="6" stopIfTrue="1" operator="notEqual">
      <formula>$I$13</formula>
    </cfRule>
  </conditionalFormatting>
  <conditionalFormatting sqref="A39:B39">
    <cfRule type="cellIs" dxfId="299" priority="5" stopIfTrue="1" operator="notEqual">
      <formula>$I$39</formula>
    </cfRule>
  </conditionalFormatting>
  <conditionalFormatting sqref="A41:B41">
    <cfRule type="cellIs" dxfId="298" priority="4" stopIfTrue="1" operator="notEqual">
      <formula>$I$41</formula>
    </cfRule>
  </conditionalFormatting>
  <conditionalFormatting sqref="C41:D41">
    <cfRule type="cellIs" dxfId="297" priority="3" stopIfTrue="1" operator="notEqual">
      <formula>$H$39</formula>
    </cfRule>
  </conditionalFormatting>
  <conditionalFormatting sqref="C57:D57">
    <cfRule type="cellIs" dxfId="296" priority="2" stopIfTrue="1" operator="notEqual">
      <formula>$H$55</formula>
    </cfRule>
  </conditionalFormatting>
  <conditionalFormatting sqref="C72:D72">
    <cfRule type="cellIs" dxfId="295" priority="1" stopIfTrue="1" operator="notEqual">
      <formula>$H$70</formula>
    </cfRule>
  </conditionalFormatting>
  <dataValidations count="32">
    <dataValidation type="whole" allowBlank="1" showInputMessage="1" showErrorMessage="1" sqref="C51 C35 C66">
      <formula1>1000</formula1>
      <formula2>9999</formula2>
    </dataValidation>
    <dataValidation type="textLength" allowBlank="1" showInputMessage="1" showErrorMessage="1" sqref="C54:F54 C10:F10 C38:F38 C69:F69">
      <formula1>3</formula1>
      <formula2>50</formula2>
    </dataValidation>
    <dataValidation type="textLength" allowBlank="1" showInputMessage="1" showErrorMessage="1" sqref="E90 E80">
      <formula1>1</formula1>
      <formula2>30</formula2>
    </dataValidation>
    <dataValidation type="textLength" allowBlank="1" showInputMessage="1" showErrorMessage="1" sqref="C90 C9:F9 E88 E78 C80">
      <formula1>1</formula1>
      <formula2>20</formula2>
    </dataValidation>
    <dataValidation type="textLength" allowBlank="1" showInputMessage="1" showErrorMessage="1" sqref="C49:E49 C33:E33 C64:E64">
      <formula1>4</formula1>
      <formula2>100</formula2>
    </dataValidation>
    <dataValidation type="whole" operator="equal" allowBlank="1" showInputMessage="1" showErrorMessage="1" sqref="C37 C85:C86 C73:C76 C53 C58:C59 C42 C68">
      <formula1>4</formula1>
    </dataValidation>
    <dataValidation type="textLength" allowBlank="1" showInputMessage="1" showErrorMessage="1" sqref="E34:E37 E59 E73:E76 E50:E53 E85:E86 E42 E65:E68">
      <formula1>2</formula1>
      <formula2>50</formula2>
    </dataValidation>
    <dataValidation type="textLength" allowBlank="1" showInputMessage="1" showErrorMessage="1" sqref="C32:E32 C48:E48 C63:E63">
      <formula1>1</formula1>
      <formula2>100</formula2>
    </dataValidation>
    <dataValidation type="list" allowBlank="1" showInputMessage="1" showErrorMessage="1" sqref="C55 C39">
      <formula1>$G$1:$G$2</formula1>
    </dataValidation>
    <dataValidation type="textLength" allowBlank="1" showInputMessage="1" showErrorMessage="1" sqref="C6:F6 C8:F8">
      <formula1>6</formula1>
      <formula2>150</formula2>
    </dataValidation>
    <dataValidation type="list" allowBlank="1" showInputMessage="1" showErrorMessage="1" sqref="C15">
      <formula1>$H$15:$H$16</formula1>
    </dataValidation>
    <dataValidation type="whole" allowBlank="1" showInputMessage="1" showErrorMessage="1" sqref="C18">
      <formula1>1000</formula1>
      <formula2>2009</formula2>
    </dataValidation>
    <dataValidation type="textLength" operator="lessThan" allowBlank="1" showInputMessage="1" showErrorMessage="1" sqref="C19:F19">
      <formula1>150</formula1>
    </dataValidation>
    <dataValidation type="textLength" operator="lessThan" allowBlank="1" showInputMessage="1" showErrorMessage="1" sqref="C28:D28">
      <formula1>25</formula1>
    </dataValidation>
    <dataValidation type="textLength" operator="lessThan" allowBlank="1" showInputMessage="1" showErrorMessage="1" sqref="C43:F44">
      <formula1>40</formula1>
    </dataValidation>
    <dataValidation type="whole" allowBlank="1" showInputMessage="1" showErrorMessage="1" sqref="C36 C52 C67">
      <formula1>0</formula1>
      <formula2>100000</formula2>
    </dataValidation>
    <dataValidation type="decimal" allowBlank="1" showInputMessage="1" showErrorMessage="1" sqref="F108">
      <formula1>0</formula1>
      <formula2>500000</formula2>
    </dataValidation>
    <dataValidation type="decimal" allowBlank="1" showInputMessage="1" showErrorMessage="1" sqref="C100">
      <formula1>0.1</formula1>
      <formula2>99999999</formula2>
    </dataValidation>
    <dataValidation type="whole" allowBlank="1" showInputMessage="1" showErrorMessage="1" sqref="C50 C34">
      <formula1>1000</formula1>
      <formula2>99999</formula2>
    </dataValidation>
    <dataValidation type="textLength" operator="lessThanOrEqual" allowBlank="1" showInputMessage="1" showErrorMessage="1" sqref="C27:D27 C23:D23 C25:D25">
      <formula1>25</formula1>
    </dataValidation>
    <dataValidation type="list" allowBlank="1" showInputMessage="1" showErrorMessage="1" sqref="F100">
      <formula1>$G$100:$G$103</formula1>
    </dataValidation>
    <dataValidation type="list" allowBlank="1" showInputMessage="1" showErrorMessage="1" sqref="E98">
      <formula1>$G$96:$G$98</formula1>
    </dataValidation>
    <dataValidation type="list" allowBlank="1" showInputMessage="1" showErrorMessage="1" sqref="C72:D72">
      <formula1>$H$62:$H$69</formula1>
    </dataValidation>
    <dataValidation type="list" allowBlank="1" showInputMessage="1" showErrorMessage="1" sqref="C70">
      <formula1>$G$59:$G$61</formula1>
    </dataValidation>
    <dataValidation type="list" allowBlank="1" showInputMessage="1" showErrorMessage="1" sqref="C41:D41">
      <formula1>$H$30:$H$38</formula1>
    </dataValidation>
    <dataValidation type="list" allowBlank="1" showInputMessage="1" showErrorMessage="1" sqref="C77 C87">
      <formula1>$H$12:$H$13</formula1>
    </dataValidation>
    <dataValidation type="list" allowBlank="1" showInputMessage="1" showErrorMessage="1" sqref="C21:F21">
      <formula1>$J$2:$J$11</formula1>
    </dataValidation>
    <dataValidation type="textLength" allowBlank="1" showInputMessage="1" showErrorMessage="1" sqref="C5:F5 C7:F7">
      <formula1>1</formula1>
      <formula2>150</formula2>
    </dataValidation>
    <dataValidation type="list" allowBlank="1" showInputMessage="1" showErrorMessage="1" sqref="C57:D57">
      <formula1>$H$46:$H$54</formula1>
    </dataValidation>
    <dataValidation type="whole" allowBlank="1" showInputMessage="1" showErrorMessage="1" sqref="C65">
      <formula1>0</formula1>
      <formula2>99999</formula2>
    </dataValidation>
    <dataValidation type="textLength" operator="lessThanOrEqual" allowBlank="1" showInputMessage="1" showErrorMessage="1" sqref="C17">
      <formula1>15</formula1>
    </dataValidation>
    <dataValidation type="textLength" operator="lessThanOrEqual" allowBlank="1" showInputMessage="1" showErrorMessage="1" sqref="C89 E87 E89 E77 E79 C79">
      <formula1>30</formula1>
    </dataValidation>
  </dataValidations>
  <pageMargins left="0.98425196850393704" right="0.39370078740157483" top="0.74803149606299213" bottom="0.74803149606299213" header="0.31496062992125984" footer="0.31496062992125984"/>
  <pageSetup orientation="landscape" horizontalDpi="300" verticalDpi="300"/>
  <headerFooter>
    <oddFooter xml:space="preserve">&amp;C&amp;"Arial,Italic"&amp;8&amp;A&amp;R&amp;"Arial,Italic"&amp;8Page &amp;P of &amp;N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topLeftCell="A32" workbookViewId="0">
      <selection activeCell="C36" sqref="C36:D36"/>
    </sheetView>
  </sheetViews>
  <sheetFormatPr defaultColWidth="9.140625" defaultRowHeight="12.75" x14ac:dyDescent="0.2"/>
  <cols>
    <col min="1" max="2" width="14.85546875" style="3" customWidth="1"/>
    <col min="3" max="3" width="18.85546875" style="3" customWidth="1"/>
    <col min="4" max="4" width="10.7109375" style="3" customWidth="1"/>
    <col min="5" max="5" width="18.85546875" style="3" customWidth="1"/>
    <col min="6" max="6" width="12.140625" style="3" customWidth="1"/>
    <col min="7" max="8" width="0" style="3" hidden="1" customWidth="1"/>
    <col min="9" max="16384" width="9.140625" style="3"/>
  </cols>
  <sheetData>
    <row r="1" spans="1:7" ht="6.75" hidden="1" customHeight="1" x14ac:dyDescent="0.2"/>
    <row r="2" spans="1:7" ht="15.75" x14ac:dyDescent="0.25">
      <c r="A2" s="72" t="s">
        <v>275</v>
      </c>
      <c r="B2" s="75"/>
      <c r="C2" s="75"/>
      <c r="D2" s="75"/>
      <c r="E2" s="75"/>
      <c r="F2" s="75"/>
    </row>
    <row r="3" spans="1:7" ht="11.25" customHeight="1" x14ac:dyDescent="0.2">
      <c r="A3" s="14"/>
    </row>
    <row r="4" spans="1:7" ht="15" x14ac:dyDescent="0.25">
      <c r="A4" s="19" t="s">
        <v>276</v>
      </c>
    </row>
    <row r="5" spans="1:7" ht="6" customHeight="1" x14ac:dyDescent="0.25">
      <c r="A5" s="19"/>
    </row>
    <row r="6" spans="1:7" ht="46.5" customHeight="1" x14ac:dyDescent="0.2">
      <c r="A6" s="567" t="s">
        <v>124</v>
      </c>
      <c r="B6" s="571"/>
      <c r="C6" s="698" t="s">
        <v>1001</v>
      </c>
      <c r="D6" s="709"/>
      <c r="E6" s="709"/>
      <c r="F6" s="710"/>
      <c r="G6" s="2" t="str">
        <f>IF(C6="",FALSE,A6)</f>
        <v>Official name of the organization in original language</v>
      </c>
    </row>
    <row r="7" spans="1:7" ht="6" customHeight="1" x14ac:dyDescent="0.2">
      <c r="A7" s="15"/>
      <c r="B7" s="12"/>
      <c r="C7" s="12"/>
      <c r="D7" s="12"/>
      <c r="E7" s="12"/>
      <c r="F7" s="12"/>
    </row>
    <row r="8" spans="1:7" ht="12.75" customHeight="1" x14ac:dyDescent="0.2">
      <c r="A8" s="567" t="s">
        <v>66</v>
      </c>
      <c r="B8" s="667"/>
      <c r="C8" s="700" t="s">
        <v>1002</v>
      </c>
      <c r="D8" s="688"/>
      <c r="E8" s="694" t="s">
        <v>159</v>
      </c>
      <c r="F8" s="619"/>
      <c r="G8" s="2" t="str">
        <f>IF(C8="",FALSE,A8)</f>
        <v>National tax number</v>
      </c>
    </row>
    <row r="9" spans="1:7" ht="6" customHeight="1" x14ac:dyDescent="0.2">
      <c r="A9" s="15"/>
      <c r="B9" s="12"/>
      <c r="C9" s="21"/>
      <c r="D9" s="12"/>
      <c r="E9" s="21"/>
      <c r="F9" s="12"/>
    </row>
    <row r="10" spans="1:7" ht="12.75" customHeight="1" x14ac:dyDescent="0.2">
      <c r="A10" s="567" t="s">
        <v>67</v>
      </c>
      <c r="B10" s="667"/>
      <c r="C10" s="700" t="s">
        <v>1003</v>
      </c>
      <c r="D10" s="688"/>
      <c r="G10" s="2" t="str">
        <f>IF(C10="",FALSE,A10)</f>
        <v>Community tax number</v>
      </c>
    </row>
    <row r="11" spans="1:7" ht="6" customHeight="1" x14ac:dyDescent="0.2">
      <c r="A11" s="15"/>
      <c r="B11" s="12"/>
      <c r="C11" s="21"/>
      <c r="D11" s="12"/>
      <c r="E11" s="21"/>
      <c r="F11" s="12"/>
    </row>
    <row r="12" spans="1:7" ht="12.75" customHeight="1" x14ac:dyDescent="0.2">
      <c r="A12" s="567" t="s">
        <v>65</v>
      </c>
      <c r="B12" s="667"/>
      <c r="C12" s="700" t="s">
        <v>1003</v>
      </c>
      <c r="D12" s="688"/>
      <c r="G12" s="2" t="str">
        <f>IF(C12="",FALSE,A12)</f>
        <v>Registry number</v>
      </c>
    </row>
    <row r="13" spans="1:7" ht="3" customHeight="1" x14ac:dyDescent="0.2">
      <c r="A13" s="15"/>
      <c r="B13" s="15"/>
      <c r="C13" s="12"/>
      <c r="D13" s="26"/>
      <c r="G13" s="2"/>
    </row>
    <row r="14" spans="1:7" ht="10.5" customHeight="1" x14ac:dyDescent="0.2">
      <c r="A14" s="15"/>
      <c r="B14" s="12"/>
      <c r="C14" s="21"/>
      <c r="D14" s="12"/>
      <c r="E14" s="21"/>
      <c r="F14" s="12"/>
    </row>
    <row r="15" spans="1:7" ht="19.5" customHeight="1" x14ac:dyDescent="0.2">
      <c r="A15" s="663" t="s">
        <v>75</v>
      </c>
      <c r="B15" s="664"/>
      <c r="C15" s="708"/>
      <c r="D15" s="708"/>
      <c r="E15" s="21"/>
      <c r="F15" s="12"/>
    </row>
    <row r="16" spans="1:7" ht="6" customHeight="1" x14ac:dyDescent="0.2">
      <c r="A16" s="15"/>
      <c r="B16" s="12"/>
      <c r="C16" s="21"/>
      <c r="D16" s="12"/>
      <c r="E16" s="21"/>
      <c r="F16" s="12"/>
    </row>
    <row r="17" spans="1:7" ht="25.5" customHeight="1" x14ac:dyDescent="0.2">
      <c r="A17" s="567" t="s">
        <v>118</v>
      </c>
      <c r="B17" s="567"/>
      <c r="C17" s="698" t="s">
        <v>698</v>
      </c>
      <c r="D17" s="680"/>
      <c r="E17" s="681"/>
      <c r="F17" s="12" t="s">
        <v>119</v>
      </c>
      <c r="G17" s="2" t="str">
        <f>IF(AND(C17&lt;&gt;"",C19&lt;&gt;"",E19&lt;&gt;"")=TRUE,A17,0)</f>
        <v>Address (permanent residence)</v>
      </c>
    </row>
    <row r="18" spans="1:7" ht="6" customHeight="1" x14ac:dyDescent="0.2">
      <c r="A18" s="567"/>
      <c r="B18" s="567"/>
      <c r="C18" s="12"/>
      <c r="D18" s="22"/>
      <c r="E18" s="22"/>
      <c r="F18" s="12"/>
    </row>
    <row r="19" spans="1:7" ht="25.5" x14ac:dyDescent="0.2">
      <c r="A19" s="567"/>
      <c r="B19" s="567"/>
      <c r="C19" s="23">
        <v>40323</v>
      </c>
      <c r="D19" s="12" t="s">
        <v>46</v>
      </c>
      <c r="E19" s="24" t="s">
        <v>699</v>
      </c>
      <c r="F19" s="12" t="s">
        <v>45</v>
      </c>
    </row>
    <row r="20" spans="1:7" ht="6" customHeight="1" x14ac:dyDescent="0.2">
      <c r="A20" s="15"/>
      <c r="B20" s="12"/>
      <c r="C20" s="12"/>
      <c r="D20" s="12"/>
      <c r="E20" s="12"/>
      <c r="F20" s="12"/>
    </row>
    <row r="21" spans="1:7" ht="12.75" customHeight="1" x14ac:dyDescent="0.2">
      <c r="A21" s="567" t="s">
        <v>61</v>
      </c>
      <c r="B21" s="677"/>
      <c r="C21" s="39" t="s">
        <v>103</v>
      </c>
      <c r="D21" s="12"/>
      <c r="E21" s="12"/>
      <c r="F21" s="12"/>
      <c r="G21" s="2" t="str">
        <f>IF(C21="",FALSE,A21)</f>
        <v>Country</v>
      </c>
    </row>
    <row r="22" spans="1:7" ht="6" customHeight="1" x14ac:dyDescent="0.2">
      <c r="A22" s="15"/>
      <c r="B22" s="12"/>
      <c r="C22" s="12"/>
      <c r="D22" s="12"/>
      <c r="E22" s="12"/>
      <c r="F22" s="12"/>
    </row>
    <row r="23" spans="1:7" ht="12.75" customHeight="1" x14ac:dyDescent="0.2">
      <c r="A23" s="567" t="s">
        <v>112</v>
      </c>
      <c r="B23" s="677"/>
      <c r="C23" s="706" t="s">
        <v>1004</v>
      </c>
      <c r="D23" s="707"/>
      <c r="F23" s="12"/>
      <c r="G23" s="2" t="str">
        <f>IF(C23="",FALSE,IF(C23="-",FALSE,A23))</f>
        <v>NUTSIII or equivalent</v>
      </c>
    </row>
    <row r="24" spans="1:7" ht="6" customHeight="1" x14ac:dyDescent="0.2">
      <c r="A24" s="18"/>
      <c r="B24" s="18"/>
      <c r="C24" s="12"/>
      <c r="D24" s="12"/>
      <c r="E24" s="25"/>
      <c r="F24" s="12"/>
    </row>
    <row r="25" spans="1:7" ht="12.75" customHeight="1" x14ac:dyDescent="0.2">
      <c r="A25" s="567" t="s">
        <v>47</v>
      </c>
      <c r="B25" s="571"/>
      <c r="C25" s="572" t="s">
        <v>1005</v>
      </c>
      <c r="D25" s="573"/>
      <c r="E25" s="573"/>
      <c r="F25" s="574"/>
      <c r="G25" s="2" t="str">
        <f>IF(C25="",FALSE,IF(C25="-",FALSE,A25))</f>
        <v>Web</v>
      </c>
    </row>
    <row r="26" spans="1:7" ht="19.5" customHeight="1" x14ac:dyDescent="0.2">
      <c r="A26" s="15"/>
      <c r="B26" s="12"/>
      <c r="C26" s="221"/>
      <c r="D26" s="222"/>
      <c r="E26" s="222"/>
      <c r="F26" s="222"/>
      <c r="G26" s="2"/>
    </row>
    <row r="27" spans="1:7" ht="6" customHeight="1" x14ac:dyDescent="0.2"/>
    <row r="28" spans="1:7" ht="15" x14ac:dyDescent="0.25">
      <c r="A28" s="19" t="s">
        <v>277</v>
      </c>
    </row>
    <row r="29" spans="1:7" ht="6" customHeight="1" x14ac:dyDescent="0.25">
      <c r="A29" s="19"/>
    </row>
    <row r="30" spans="1:7" ht="46.5" customHeight="1" x14ac:dyDescent="0.2">
      <c r="A30" s="567" t="s">
        <v>124</v>
      </c>
      <c r="B30" s="571"/>
      <c r="C30" s="679" t="s">
        <v>1025</v>
      </c>
      <c r="D30" s="689"/>
      <c r="E30" s="689"/>
      <c r="F30" s="690"/>
      <c r="G30" s="2" t="str">
        <f>IF(C30="",FALSE,A30)</f>
        <v>Official name of the organization in original language</v>
      </c>
    </row>
    <row r="31" spans="1:7" ht="6" customHeight="1" x14ac:dyDescent="0.2">
      <c r="A31" s="15"/>
      <c r="B31" s="12"/>
      <c r="C31" s="12"/>
      <c r="D31" s="12"/>
      <c r="E31" s="12"/>
      <c r="F31" s="12"/>
    </row>
    <row r="32" spans="1:7" ht="12.75" customHeight="1" x14ac:dyDescent="0.2">
      <c r="A32" s="567" t="s">
        <v>66</v>
      </c>
      <c r="B32" s="667"/>
      <c r="C32" s="687" t="s">
        <v>1026</v>
      </c>
      <c r="D32" s="688"/>
      <c r="E32" s="694" t="s">
        <v>159</v>
      </c>
      <c r="F32" s="619"/>
      <c r="G32" s="2" t="str">
        <f>IF(C32="",FALSE,A32)</f>
        <v>National tax number</v>
      </c>
    </row>
    <row r="33" spans="1:7" ht="6" customHeight="1" x14ac:dyDescent="0.2">
      <c r="A33" s="15"/>
      <c r="B33" s="12"/>
      <c r="C33" s="21"/>
      <c r="D33" s="12"/>
      <c r="E33" s="21"/>
      <c r="F33" s="12"/>
    </row>
    <row r="34" spans="1:7" ht="12.75" customHeight="1" x14ac:dyDescent="0.2">
      <c r="A34" s="567" t="s">
        <v>67</v>
      </c>
      <c r="B34" s="667"/>
      <c r="C34" s="687" t="s">
        <v>130</v>
      </c>
      <c r="D34" s="688"/>
      <c r="G34" s="2" t="str">
        <f>IF(C34="",FALSE,A34)</f>
        <v>Community tax number</v>
      </c>
    </row>
    <row r="35" spans="1:7" ht="6" customHeight="1" x14ac:dyDescent="0.2">
      <c r="A35" s="15"/>
      <c r="B35" s="12"/>
      <c r="C35" s="21"/>
      <c r="D35" s="12"/>
      <c r="E35" s="21"/>
      <c r="F35" s="12"/>
    </row>
    <row r="36" spans="1:7" ht="12.75" customHeight="1" x14ac:dyDescent="0.2">
      <c r="A36" s="567" t="s">
        <v>65</v>
      </c>
      <c r="B36" s="667"/>
      <c r="C36" s="687" t="s">
        <v>1027</v>
      </c>
      <c r="D36" s="688"/>
      <c r="G36" s="2" t="str">
        <f>IF(C36="",FALSE,A36)</f>
        <v>Registry number</v>
      </c>
    </row>
    <row r="37" spans="1:7" ht="3" customHeight="1" x14ac:dyDescent="0.2">
      <c r="A37" s="15"/>
      <c r="B37" s="15"/>
      <c r="C37" s="12"/>
      <c r="D37" s="26"/>
      <c r="G37" s="2"/>
    </row>
    <row r="38" spans="1:7" ht="10.5" customHeight="1" x14ac:dyDescent="0.2">
      <c r="A38" s="15"/>
      <c r="B38" s="12"/>
      <c r="C38" s="21"/>
      <c r="D38" s="12"/>
      <c r="E38" s="21"/>
      <c r="F38" s="12"/>
    </row>
    <row r="39" spans="1:7" ht="19.5" customHeight="1" x14ac:dyDescent="0.2">
      <c r="A39" s="663" t="s">
        <v>75</v>
      </c>
      <c r="B39" s="664"/>
      <c r="C39" s="708"/>
      <c r="D39" s="708"/>
      <c r="E39" s="21"/>
      <c r="F39" s="12"/>
    </row>
    <row r="40" spans="1:7" ht="6" customHeight="1" x14ac:dyDescent="0.2">
      <c r="A40" s="15"/>
      <c r="B40" s="12"/>
      <c r="C40" s="21"/>
      <c r="D40" s="12"/>
      <c r="E40" s="21"/>
      <c r="F40" s="12"/>
    </row>
    <row r="41" spans="1:7" ht="25.5" customHeight="1" x14ac:dyDescent="0.2">
      <c r="A41" s="567" t="s">
        <v>118</v>
      </c>
      <c r="B41" s="567"/>
      <c r="C41" s="679" t="s">
        <v>1028</v>
      </c>
      <c r="D41" s="680"/>
      <c r="E41" s="681"/>
      <c r="F41" s="12" t="s">
        <v>119</v>
      </c>
      <c r="G41" s="2" t="str">
        <f>IF(AND(C41&lt;&gt;"",C43&lt;&gt;"",E43&lt;&gt;"")=TRUE,A41,0)</f>
        <v>Address (permanent residence)</v>
      </c>
    </row>
    <row r="42" spans="1:7" ht="6" customHeight="1" x14ac:dyDescent="0.2">
      <c r="A42" s="567"/>
      <c r="B42" s="567"/>
      <c r="C42" s="12"/>
      <c r="D42" s="22"/>
      <c r="E42" s="22"/>
      <c r="F42" s="12"/>
    </row>
    <row r="43" spans="1:7" ht="25.5" x14ac:dyDescent="0.2">
      <c r="A43" s="567"/>
      <c r="B43" s="567"/>
      <c r="C43" s="529">
        <v>42233</v>
      </c>
      <c r="D43" s="12" t="s">
        <v>46</v>
      </c>
      <c r="E43" s="507" t="s">
        <v>1029</v>
      </c>
      <c r="F43" s="12" t="s">
        <v>45</v>
      </c>
    </row>
    <row r="44" spans="1:7" ht="6" customHeight="1" x14ac:dyDescent="0.2">
      <c r="A44" s="15"/>
      <c r="B44" s="12"/>
      <c r="C44" s="12"/>
      <c r="D44" s="12"/>
      <c r="E44" s="12"/>
      <c r="F44" s="12"/>
    </row>
    <row r="45" spans="1:7" ht="12.75" customHeight="1" x14ac:dyDescent="0.2">
      <c r="A45" s="567" t="s">
        <v>61</v>
      </c>
      <c r="B45" s="677"/>
      <c r="C45" s="518" t="s">
        <v>103</v>
      </c>
      <c r="D45" s="12"/>
      <c r="E45" s="12"/>
      <c r="F45" s="12"/>
      <c r="G45" s="2" t="str">
        <f>IF(C45="",FALSE,A45)</f>
        <v>Country</v>
      </c>
    </row>
    <row r="46" spans="1:7" ht="6" customHeight="1" x14ac:dyDescent="0.2">
      <c r="A46" s="15"/>
      <c r="B46" s="12"/>
      <c r="C46" s="12"/>
      <c r="D46" s="12"/>
      <c r="E46" s="12"/>
      <c r="F46" s="12"/>
    </row>
    <row r="47" spans="1:7" ht="12.75" customHeight="1" x14ac:dyDescent="0.2">
      <c r="A47" s="567" t="s">
        <v>112</v>
      </c>
      <c r="B47" s="677"/>
      <c r="C47" s="711" t="s">
        <v>114</v>
      </c>
      <c r="D47" s="707"/>
      <c r="F47" s="12"/>
      <c r="G47" s="2" t="str">
        <f>IF(C47="",FALSE,IF(C47="-",FALSE,A47))</f>
        <v>NUTSIII or equivalent</v>
      </c>
    </row>
    <row r="48" spans="1:7" ht="6" customHeight="1" x14ac:dyDescent="0.2">
      <c r="A48" s="18"/>
      <c r="B48" s="18"/>
      <c r="C48" s="12"/>
      <c r="D48" s="12"/>
      <c r="E48" s="25"/>
      <c r="F48" s="12"/>
    </row>
    <row r="49" spans="1:7" ht="12.75" customHeight="1" x14ac:dyDescent="0.2">
      <c r="A49" s="567" t="s">
        <v>47</v>
      </c>
      <c r="B49" s="571"/>
      <c r="C49" s="673" t="s">
        <v>1030</v>
      </c>
      <c r="D49" s="573"/>
      <c r="E49" s="573"/>
      <c r="F49" s="574"/>
      <c r="G49" s="2" t="str">
        <f>IF(C49="",FALSE,IF(C49="-",FALSE,A49))</f>
        <v>Web</v>
      </c>
    </row>
    <row r="50" spans="1:7" ht="19.5" customHeight="1" x14ac:dyDescent="0.2">
      <c r="A50" s="15"/>
      <c r="B50" s="12"/>
      <c r="C50" s="221"/>
      <c r="D50" s="222"/>
      <c r="E50" s="222"/>
      <c r="F50" s="222"/>
      <c r="G50" s="2"/>
    </row>
    <row r="51" spans="1:7" ht="6" customHeight="1" x14ac:dyDescent="0.2"/>
    <row r="52" spans="1:7" ht="15" x14ac:dyDescent="0.25">
      <c r="A52" s="19" t="s">
        <v>278</v>
      </c>
    </row>
    <row r="53" spans="1:7" ht="6" customHeight="1" x14ac:dyDescent="0.25">
      <c r="A53" s="19"/>
    </row>
    <row r="54" spans="1:7" ht="46.5" customHeight="1" x14ac:dyDescent="0.2">
      <c r="A54" s="567" t="s">
        <v>124</v>
      </c>
      <c r="B54" s="571"/>
      <c r="C54" s="679" t="s">
        <v>1031</v>
      </c>
      <c r="D54" s="689"/>
      <c r="E54" s="689"/>
      <c r="F54" s="690"/>
      <c r="G54" s="2" t="str">
        <f>IF(C54="",FALSE,A54)</f>
        <v>Official name of the organization in original language</v>
      </c>
    </row>
    <row r="55" spans="1:7" ht="6" customHeight="1" x14ac:dyDescent="0.2">
      <c r="A55" s="15"/>
      <c r="B55" s="12"/>
      <c r="C55" s="12"/>
      <c r="D55" s="12"/>
      <c r="E55" s="12"/>
      <c r="F55" s="12"/>
    </row>
    <row r="56" spans="1:7" ht="12.75" customHeight="1" x14ac:dyDescent="0.2">
      <c r="A56" s="567" t="s">
        <v>66</v>
      </c>
      <c r="B56" s="667"/>
      <c r="C56" s="687" t="s">
        <v>1035</v>
      </c>
      <c r="D56" s="688"/>
      <c r="E56" s="694" t="s">
        <v>159</v>
      </c>
      <c r="F56" s="619"/>
      <c r="G56" s="2" t="str">
        <f>IF(C56="",FALSE,A56)</f>
        <v>National tax number</v>
      </c>
    </row>
    <row r="57" spans="1:7" ht="6" customHeight="1" x14ac:dyDescent="0.2">
      <c r="A57" s="15"/>
      <c r="B57" s="12"/>
      <c r="C57" s="21"/>
      <c r="D57" s="12"/>
      <c r="E57" s="21"/>
      <c r="F57" s="12"/>
    </row>
    <row r="58" spans="1:7" ht="12.75" customHeight="1" x14ac:dyDescent="0.2">
      <c r="A58" s="567" t="s">
        <v>67</v>
      </c>
      <c r="B58" s="667"/>
      <c r="C58" s="687" t="s">
        <v>1035</v>
      </c>
      <c r="D58" s="688"/>
      <c r="G58" s="2" t="str">
        <f>IF(C58="",FALSE,A58)</f>
        <v>Community tax number</v>
      </c>
    </row>
    <row r="59" spans="1:7" ht="6" customHeight="1" x14ac:dyDescent="0.2">
      <c r="A59" s="15"/>
      <c r="B59" s="12"/>
      <c r="C59" s="21"/>
      <c r="D59" s="12"/>
      <c r="E59" s="21"/>
      <c r="F59" s="12"/>
    </row>
    <row r="60" spans="1:7" ht="12.75" customHeight="1" x14ac:dyDescent="0.2">
      <c r="A60" s="567" t="s">
        <v>65</v>
      </c>
      <c r="B60" s="667"/>
      <c r="C60" s="687" t="s">
        <v>1034</v>
      </c>
      <c r="D60" s="688"/>
      <c r="G60" s="2" t="str">
        <f>IF(C60="",FALSE,A60)</f>
        <v>Registry number</v>
      </c>
    </row>
    <row r="61" spans="1:7" ht="3" customHeight="1" x14ac:dyDescent="0.2">
      <c r="A61" s="15"/>
      <c r="B61" s="15"/>
      <c r="C61" s="12"/>
      <c r="D61" s="26"/>
      <c r="G61" s="2"/>
    </row>
    <row r="62" spans="1:7" ht="10.5" customHeight="1" x14ac:dyDescent="0.2">
      <c r="A62" s="15"/>
      <c r="B62" s="12"/>
      <c r="C62" s="21"/>
      <c r="D62" s="12"/>
      <c r="E62" s="21"/>
      <c r="F62" s="12"/>
    </row>
    <row r="63" spans="1:7" ht="19.5" customHeight="1" x14ac:dyDescent="0.2">
      <c r="A63" s="663" t="s">
        <v>75</v>
      </c>
      <c r="B63" s="664"/>
      <c r="C63" s="708"/>
      <c r="D63" s="708"/>
      <c r="E63" s="21"/>
      <c r="F63" s="12"/>
    </row>
    <row r="64" spans="1:7" ht="6" customHeight="1" x14ac:dyDescent="0.2">
      <c r="A64" s="15"/>
      <c r="B64" s="12"/>
      <c r="C64" s="21"/>
      <c r="D64" s="12"/>
      <c r="E64" s="21"/>
      <c r="F64" s="12"/>
    </row>
    <row r="65" spans="1:7" ht="25.5" customHeight="1" x14ac:dyDescent="0.2">
      <c r="A65" s="567" t="s">
        <v>118</v>
      </c>
      <c r="B65" s="567"/>
      <c r="C65" s="679" t="s">
        <v>1037</v>
      </c>
      <c r="D65" s="680"/>
      <c r="E65" s="681"/>
      <c r="F65" s="12" t="s">
        <v>119</v>
      </c>
      <c r="G65" s="2" t="str">
        <f>IF(AND(C65&lt;&gt;"",C67&lt;&gt;"",E67&lt;&gt;"")=TRUE,A65,0)</f>
        <v>Address (permanent residence)</v>
      </c>
    </row>
    <row r="66" spans="1:7" ht="6" customHeight="1" x14ac:dyDescent="0.2">
      <c r="A66" s="567"/>
      <c r="B66" s="567"/>
      <c r="C66" s="12"/>
      <c r="D66" s="22"/>
      <c r="E66" s="22"/>
      <c r="F66" s="12"/>
    </row>
    <row r="67" spans="1:7" ht="25.5" x14ac:dyDescent="0.2">
      <c r="A67" s="567"/>
      <c r="B67" s="567"/>
      <c r="C67" s="23">
        <v>8380</v>
      </c>
      <c r="D67" s="12" t="s">
        <v>46</v>
      </c>
      <c r="E67" s="507" t="s">
        <v>1036</v>
      </c>
      <c r="F67" s="12" t="s">
        <v>45</v>
      </c>
    </row>
    <row r="68" spans="1:7" ht="6" customHeight="1" x14ac:dyDescent="0.2">
      <c r="A68" s="15"/>
      <c r="B68" s="12"/>
      <c r="C68" s="12"/>
      <c r="D68" s="12"/>
      <c r="E68" s="12"/>
      <c r="F68" s="12"/>
    </row>
    <row r="69" spans="1:7" ht="12.75" customHeight="1" x14ac:dyDescent="0.2">
      <c r="A69" s="567" t="s">
        <v>61</v>
      </c>
      <c r="B69" s="677"/>
      <c r="C69" s="518" t="s">
        <v>102</v>
      </c>
      <c r="D69" s="12"/>
      <c r="E69" s="12"/>
      <c r="F69" s="12"/>
      <c r="G69" s="2" t="str">
        <f>IF(C69="",FALSE,A69)</f>
        <v>Country</v>
      </c>
    </row>
    <row r="70" spans="1:7" ht="6" customHeight="1" x14ac:dyDescent="0.2">
      <c r="A70" s="15"/>
      <c r="B70" s="12"/>
      <c r="C70" s="12"/>
      <c r="D70" s="12"/>
      <c r="E70" s="12"/>
      <c r="F70" s="12"/>
    </row>
    <row r="71" spans="1:7" ht="12.75" customHeight="1" x14ac:dyDescent="0.2">
      <c r="A71" s="567" t="s">
        <v>112</v>
      </c>
      <c r="B71" s="677"/>
      <c r="C71" s="711" t="s">
        <v>1032</v>
      </c>
      <c r="D71" s="707"/>
      <c r="F71" s="12"/>
      <c r="G71" s="2" t="str">
        <f>IF(C71="",FALSE,IF(C71="-",FALSE,A71))</f>
        <v>NUTSIII or equivalent</v>
      </c>
    </row>
    <row r="72" spans="1:7" ht="6" customHeight="1" x14ac:dyDescent="0.2">
      <c r="A72" s="18"/>
      <c r="B72" s="18"/>
      <c r="C72" s="12"/>
      <c r="D72" s="12"/>
      <c r="E72" s="25"/>
      <c r="F72" s="12"/>
    </row>
    <row r="73" spans="1:7" ht="12.75" customHeight="1" x14ac:dyDescent="0.2">
      <c r="A73" s="567" t="s">
        <v>47</v>
      </c>
      <c r="B73" s="571"/>
      <c r="C73" s="673" t="s">
        <v>1033</v>
      </c>
      <c r="D73" s="573"/>
      <c r="E73" s="573"/>
      <c r="F73" s="574"/>
      <c r="G73" s="2" t="str">
        <f>IF(C73="",FALSE,IF(C73="-",FALSE,A73))</f>
        <v>Web</v>
      </c>
    </row>
    <row r="74" spans="1:7" ht="19.5" customHeight="1" x14ac:dyDescent="0.2">
      <c r="A74" s="15"/>
      <c r="B74" s="12"/>
      <c r="C74" s="221"/>
      <c r="D74" s="222"/>
      <c r="E74" s="222"/>
      <c r="F74" s="222"/>
      <c r="G74" s="2"/>
    </row>
    <row r="75" spans="1:7" ht="6" customHeight="1" x14ac:dyDescent="0.2"/>
    <row r="76" spans="1:7" ht="15" x14ac:dyDescent="0.25">
      <c r="A76" s="19" t="s">
        <v>279</v>
      </c>
    </row>
    <row r="77" spans="1:7" ht="6" customHeight="1" x14ac:dyDescent="0.25">
      <c r="A77" s="19"/>
    </row>
    <row r="78" spans="1:7" ht="46.5" customHeight="1" x14ac:dyDescent="0.2">
      <c r="A78" s="567" t="s">
        <v>124</v>
      </c>
      <c r="B78" s="571"/>
      <c r="C78" s="698"/>
      <c r="D78" s="689"/>
      <c r="E78" s="689"/>
      <c r="F78" s="690"/>
      <c r="G78" s="2" t="b">
        <f>IF(C78="",FALSE,A78)</f>
        <v>0</v>
      </c>
    </row>
    <row r="79" spans="1:7" ht="6" customHeight="1" x14ac:dyDescent="0.2">
      <c r="A79" s="15"/>
      <c r="B79" s="12"/>
      <c r="C79" s="12"/>
      <c r="D79" s="12"/>
      <c r="E79" s="12"/>
      <c r="F79" s="12"/>
    </row>
    <row r="80" spans="1:7" ht="12.75" customHeight="1" x14ac:dyDescent="0.2">
      <c r="A80" s="567" t="s">
        <v>66</v>
      </c>
      <c r="B80" s="667"/>
      <c r="C80" s="700"/>
      <c r="D80" s="688"/>
      <c r="E80" s="694" t="s">
        <v>159</v>
      </c>
      <c r="F80" s="619"/>
      <c r="G80" s="2" t="b">
        <f>IF(C80="",FALSE,A80)</f>
        <v>0</v>
      </c>
    </row>
    <row r="81" spans="1:7" ht="6" customHeight="1" x14ac:dyDescent="0.2">
      <c r="A81" s="15"/>
      <c r="B81" s="12"/>
      <c r="C81" s="21"/>
      <c r="D81" s="12"/>
      <c r="E81" s="21"/>
      <c r="F81" s="12"/>
    </row>
    <row r="82" spans="1:7" ht="12.75" customHeight="1" x14ac:dyDescent="0.2">
      <c r="A82" s="567" t="s">
        <v>67</v>
      </c>
      <c r="B82" s="667"/>
      <c r="C82" s="700"/>
      <c r="D82" s="688"/>
      <c r="G82" s="2" t="b">
        <f>IF(C82="",FALSE,A82)</f>
        <v>0</v>
      </c>
    </row>
    <row r="83" spans="1:7" ht="6" customHeight="1" x14ac:dyDescent="0.2">
      <c r="A83" s="15"/>
      <c r="B83" s="12"/>
      <c r="C83" s="21"/>
      <c r="D83" s="12"/>
      <c r="E83" s="21"/>
      <c r="F83" s="12"/>
    </row>
    <row r="84" spans="1:7" ht="12.75" customHeight="1" x14ac:dyDescent="0.2">
      <c r="A84" s="567" t="s">
        <v>65</v>
      </c>
      <c r="B84" s="667"/>
      <c r="C84" s="700"/>
      <c r="D84" s="688"/>
      <c r="G84" s="2" t="b">
        <f>IF(C84="",FALSE,A84)</f>
        <v>0</v>
      </c>
    </row>
    <row r="85" spans="1:7" ht="3" customHeight="1" x14ac:dyDescent="0.2">
      <c r="A85" s="15"/>
      <c r="B85" s="15"/>
      <c r="C85" s="12"/>
      <c r="D85" s="26"/>
      <c r="G85" s="2"/>
    </row>
    <row r="86" spans="1:7" ht="10.5" customHeight="1" x14ac:dyDescent="0.2">
      <c r="A86" s="15"/>
      <c r="B86" s="12"/>
      <c r="C86" s="21"/>
      <c r="D86" s="12"/>
      <c r="E86" s="21"/>
      <c r="F86" s="12"/>
    </row>
    <row r="87" spans="1:7" ht="19.5" customHeight="1" x14ac:dyDescent="0.2">
      <c r="A87" s="663" t="s">
        <v>75</v>
      </c>
      <c r="B87" s="664"/>
      <c r="C87" s="708"/>
      <c r="D87" s="708"/>
      <c r="E87" s="21"/>
      <c r="F87" s="12"/>
    </row>
    <row r="88" spans="1:7" ht="6" customHeight="1" x14ac:dyDescent="0.2">
      <c r="A88" s="15"/>
      <c r="B88" s="12"/>
      <c r="C88" s="21"/>
      <c r="D88" s="12"/>
      <c r="E88" s="21"/>
      <c r="F88" s="12"/>
    </row>
    <row r="89" spans="1:7" ht="25.5" customHeight="1" x14ac:dyDescent="0.2">
      <c r="A89" s="567" t="s">
        <v>118</v>
      </c>
      <c r="B89" s="567"/>
      <c r="C89" s="698"/>
      <c r="D89" s="680"/>
      <c r="E89" s="681"/>
      <c r="F89" s="12" t="s">
        <v>119</v>
      </c>
      <c r="G89" s="2">
        <f>IF(AND(C89&lt;&gt;"",C91&lt;&gt;"",E91&lt;&gt;"")=TRUE,A89,0)</f>
        <v>0</v>
      </c>
    </row>
    <row r="90" spans="1:7" ht="6" customHeight="1" x14ac:dyDescent="0.2">
      <c r="A90" s="567"/>
      <c r="B90" s="567"/>
      <c r="C90" s="12"/>
      <c r="D90" s="22"/>
      <c r="E90" s="22"/>
      <c r="F90" s="12"/>
    </row>
    <row r="91" spans="1:7" ht="25.5" x14ac:dyDescent="0.2">
      <c r="A91" s="567"/>
      <c r="B91" s="567"/>
      <c r="C91" s="23"/>
      <c r="D91" s="12" t="s">
        <v>46</v>
      </c>
      <c r="E91" s="24"/>
      <c r="F91" s="12" t="s">
        <v>45</v>
      </c>
    </row>
    <row r="92" spans="1:7" ht="6" customHeight="1" x14ac:dyDescent="0.2">
      <c r="A92" s="15"/>
      <c r="B92" s="12"/>
      <c r="C92" s="12"/>
      <c r="D92" s="12"/>
      <c r="E92" s="12"/>
      <c r="F92" s="12"/>
    </row>
    <row r="93" spans="1:7" ht="12.75" customHeight="1" x14ac:dyDescent="0.2">
      <c r="A93" s="567" t="s">
        <v>61</v>
      </c>
      <c r="B93" s="677"/>
      <c r="C93" s="39"/>
      <c r="D93" s="12"/>
      <c r="E93" s="12"/>
      <c r="F93" s="12"/>
      <c r="G93" s="2" t="b">
        <f>IF(C93="",FALSE,A93)</f>
        <v>0</v>
      </c>
    </row>
    <row r="94" spans="1:7" ht="6" customHeight="1" x14ac:dyDescent="0.2">
      <c r="A94" s="15"/>
      <c r="B94" s="12"/>
      <c r="C94" s="12"/>
      <c r="D94" s="12"/>
      <c r="E94" s="12"/>
      <c r="F94" s="12"/>
    </row>
    <row r="95" spans="1:7" ht="12.75" customHeight="1" x14ac:dyDescent="0.2">
      <c r="A95" s="567" t="s">
        <v>112</v>
      </c>
      <c r="B95" s="677"/>
      <c r="C95" s="706"/>
      <c r="D95" s="707"/>
      <c r="F95" s="12"/>
      <c r="G95" s="2" t="b">
        <f>IF(C95="",FALSE,IF(C95="-",FALSE,A95))</f>
        <v>0</v>
      </c>
    </row>
    <row r="96" spans="1:7" ht="6" customHeight="1" x14ac:dyDescent="0.2">
      <c r="A96" s="18"/>
      <c r="B96" s="18"/>
      <c r="C96" s="12"/>
      <c r="D96" s="12"/>
      <c r="E96" s="25"/>
      <c r="F96" s="12"/>
    </row>
    <row r="97" spans="1:7" ht="12.75" customHeight="1" x14ac:dyDescent="0.2">
      <c r="A97" s="567" t="s">
        <v>47</v>
      </c>
      <c r="B97" s="571"/>
      <c r="C97" s="699"/>
      <c r="D97" s="573"/>
      <c r="E97" s="573"/>
      <c r="F97" s="574"/>
      <c r="G97" s="2" t="b">
        <f>IF(C97="",FALSE,IF(C97="-",FALSE,A97))</f>
        <v>0</v>
      </c>
    </row>
    <row r="98" spans="1:7" ht="6" customHeight="1" x14ac:dyDescent="0.2"/>
  </sheetData>
  <sheetProtection password="F58B" sheet="1" objects="1" scenarios="1" formatCells="0" selectLockedCells="1"/>
  <mergeCells count="68">
    <mergeCell ref="A21:B21"/>
    <mergeCell ref="A12:B12"/>
    <mergeCell ref="C12:D12"/>
    <mergeCell ref="A15:D15"/>
    <mergeCell ref="A17:B19"/>
    <mergeCell ref="C17:E17"/>
    <mergeCell ref="A32:B32"/>
    <mergeCell ref="E32:F32"/>
    <mergeCell ref="A30:B30"/>
    <mergeCell ref="C34:D34"/>
    <mergeCell ref="C32:D32"/>
    <mergeCell ref="A54:B54"/>
    <mergeCell ref="C54:F54"/>
    <mergeCell ref="E56:F56"/>
    <mergeCell ref="A60:B60"/>
    <mergeCell ref="C60:D60"/>
    <mergeCell ref="A58:B58"/>
    <mergeCell ref="C58:D58"/>
    <mergeCell ref="A56:B56"/>
    <mergeCell ref="C56:D56"/>
    <mergeCell ref="A63:D63"/>
    <mergeCell ref="A65:B67"/>
    <mergeCell ref="C65:E65"/>
    <mergeCell ref="A71:B71"/>
    <mergeCell ref="C71:D71"/>
    <mergeCell ref="A69:B69"/>
    <mergeCell ref="C23:D23"/>
    <mergeCell ref="A10:B10"/>
    <mergeCell ref="A34:B34"/>
    <mergeCell ref="A23:B23"/>
    <mergeCell ref="A47:B47"/>
    <mergeCell ref="A39:D39"/>
    <mergeCell ref="A41:B43"/>
    <mergeCell ref="C41:E41"/>
    <mergeCell ref="A45:B45"/>
    <mergeCell ref="C47:D47"/>
    <mergeCell ref="C10:D10"/>
    <mergeCell ref="A36:B36"/>
    <mergeCell ref="C36:D36"/>
    <mergeCell ref="A25:B25"/>
    <mergeCell ref="C25:F25"/>
    <mergeCell ref="C30:F30"/>
    <mergeCell ref="A6:B6"/>
    <mergeCell ref="C6:F6"/>
    <mergeCell ref="A8:B8"/>
    <mergeCell ref="C8:D8"/>
    <mergeCell ref="E8:F8"/>
    <mergeCell ref="A49:B49"/>
    <mergeCell ref="A89:B91"/>
    <mergeCell ref="C89:E89"/>
    <mergeCell ref="A78:B78"/>
    <mergeCell ref="C78:F78"/>
    <mergeCell ref="A80:B80"/>
    <mergeCell ref="C80:D80"/>
    <mergeCell ref="E80:F80"/>
    <mergeCell ref="A82:B82"/>
    <mergeCell ref="C82:D82"/>
    <mergeCell ref="A84:B84"/>
    <mergeCell ref="C84:D84"/>
    <mergeCell ref="A87:D87"/>
    <mergeCell ref="C49:F49"/>
    <mergeCell ref="A73:B73"/>
    <mergeCell ref="C73:F73"/>
    <mergeCell ref="A93:B93"/>
    <mergeCell ref="A95:B95"/>
    <mergeCell ref="C95:D95"/>
    <mergeCell ref="A97:B97"/>
    <mergeCell ref="C97:F97"/>
  </mergeCells>
  <phoneticPr fontId="3" type="noConversion"/>
  <conditionalFormatting sqref="A6:B6 A23:B23 A21:B21 A30:B30 A47:B47 A45:B45 A54:B54 A71:B71 A69:B69">
    <cfRule type="cellIs" dxfId="294" priority="52" stopIfTrue="1" operator="notEqual">
      <formula>$G6</formula>
    </cfRule>
  </conditionalFormatting>
  <conditionalFormatting sqref="A17:B19">
    <cfRule type="cellIs" dxfId="293" priority="51" stopIfTrue="1" operator="notEqual">
      <formula>$G$17</formula>
    </cfRule>
  </conditionalFormatting>
  <conditionalFormatting sqref="A8:B8">
    <cfRule type="cellIs" dxfId="292" priority="43" stopIfTrue="1" operator="notEqual">
      <formula>$G$8</formula>
    </cfRule>
  </conditionalFormatting>
  <conditionalFormatting sqref="A10:B10">
    <cfRule type="cellIs" dxfId="291" priority="42" stopIfTrue="1" operator="notEqual">
      <formula>$G$10</formula>
    </cfRule>
  </conditionalFormatting>
  <conditionalFormatting sqref="A12:B13 A37:B37 A61:B61">
    <cfRule type="cellIs" dxfId="290" priority="41" stopIfTrue="1" operator="notEqual">
      <formula>$G$12</formula>
    </cfRule>
  </conditionalFormatting>
  <conditionalFormatting sqref="A25:B26 A74:B74 A50:B50">
    <cfRule type="cellIs" dxfId="289" priority="58" stopIfTrue="1" operator="notEqual">
      <formula>$G$25</formula>
    </cfRule>
  </conditionalFormatting>
  <conditionalFormatting sqref="A32:B32">
    <cfRule type="cellIs" dxfId="288" priority="68" stopIfTrue="1" operator="notEqual">
      <formula>$G$32</formula>
    </cfRule>
  </conditionalFormatting>
  <conditionalFormatting sqref="A34:B34">
    <cfRule type="cellIs" dxfId="287" priority="69" stopIfTrue="1" operator="notEqual">
      <formula>$G$34</formula>
    </cfRule>
  </conditionalFormatting>
  <conditionalFormatting sqref="A36:B36">
    <cfRule type="cellIs" dxfId="286" priority="70" stopIfTrue="1" operator="notEqual">
      <formula>$G$36</formula>
    </cfRule>
  </conditionalFormatting>
  <conditionalFormatting sqref="A41:B43">
    <cfRule type="cellIs" dxfId="285" priority="71" stopIfTrue="1" operator="notEqual">
      <formula>$G$41</formula>
    </cfRule>
  </conditionalFormatting>
  <conditionalFormatting sqref="A56:B56">
    <cfRule type="cellIs" dxfId="284" priority="72" stopIfTrue="1" operator="notEqual">
      <formula>$G$56</formula>
    </cfRule>
  </conditionalFormatting>
  <conditionalFormatting sqref="A58:B58">
    <cfRule type="cellIs" dxfId="283" priority="73" stopIfTrue="1" operator="notEqual">
      <formula>$G$58</formula>
    </cfRule>
  </conditionalFormatting>
  <conditionalFormatting sqref="A60:B60">
    <cfRule type="cellIs" dxfId="282" priority="74" stopIfTrue="1" operator="notEqual">
      <formula>$G$60</formula>
    </cfRule>
  </conditionalFormatting>
  <conditionalFormatting sqref="A65:B67">
    <cfRule type="cellIs" dxfId="281" priority="75" stopIfTrue="1" operator="notEqual">
      <formula>$G$65</formula>
    </cfRule>
  </conditionalFormatting>
  <conditionalFormatting sqref="A73:B73">
    <cfRule type="cellIs" dxfId="280" priority="76" stopIfTrue="1" operator="notEqual">
      <formula>$G$73</formula>
    </cfRule>
  </conditionalFormatting>
  <conditionalFormatting sqref="A49:B49">
    <cfRule type="cellIs" dxfId="279" priority="77" stopIfTrue="1" operator="notEqual">
      <formula>$G$49</formula>
    </cfRule>
  </conditionalFormatting>
  <conditionalFormatting sqref="A78:B78 A95:B95 A93:B93">
    <cfRule type="cellIs" dxfId="278" priority="2" stopIfTrue="1" operator="notEqual">
      <formula>$G78</formula>
    </cfRule>
  </conditionalFormatting>
  <conditionalFormatting sqref="A85:B85">
    <cfRule type="cellIs" dxfId="277" priority="1" stopIfTrue="1" operator="notEqual">
      <formula>$G$12</formula>
    </cfRule>
  </conditionalFormatting>
  <conditionalFormatting sqref="A80:B80">
    <cfRule type="cellIs" dxfId="276" priority="4" stopIfTrue="1" operator="notEqual">
      <formula>$G$56</formula>
    </cfRule>
  </conditionalFormatting>
  <conditionalFormatting sqref="A82:B82">
    <cfRule type="cellIs" dxfId="275" priority="5" stopIfTrue="1" operator="notEqual">
      <formula>$G$58</formula>
    </cfRule>
  </conditionalFormatting>
  <conditionalFormatting sqref="A84:B84">
    <cfRule type="cellIs" dxfId="274" priority="6" stopIfTrue="1" operator="notEqual">
      <formula>$G$60</formula>
    </cfRule>
  </conditionalFormatting>
  <conditionalFormatting sqref="A89:B91">
    <cfRule type="cellIs" dxfId="273" priority="7" stopIfTrue="1" operator="notEqual">
      <formula>$G$65</formula>
    </cfRule>
  </conditionalFormatting>
  <conditionalFormatting sqref="A97:B97">
    <cfRule type="cellIs" dxfId="272" priority="8" stopIfTrue="1" operator="notEqual">
      <formula>$G$73</formula>
    </cfRule>
  </conditionalFormatting>
  <dataValidations count="11">
    <dataValidation type="textLength" operator="lessThan" allowBlank="1" showInputMessage="1" showErrorMessage="1" sqref="C25:F26 C49:F50 C73:F74 C97:F97">
      <formula1>40</formula1>
    </dataValidation>
    <dataValidation type="textLength" allowBlank="1" showInputMessage="1" showErrorMessage="1" sqref="E24 E67 E72 E43 E48 E19 E91 E96">
      <formula1>2</formula1>
      <formula2>50</formula2>
    </dataValidation>
    <dataValidation type="whole" operator="equal" allowBlank="1" showInputMessage="1" showErrorMessage="1" sqref="C24 C72 C48 C96">
      <formula1>4</formula1>
    </dataValidation>
    <dataValidation type="textLength" allowBlank="1" showInputMessage="1" showErrorMessage="1" sqref="C20:F20 C68:F68 C44:F44 C92:F92">
      <formula1>3</formula1>
      <formula2>50</formula2>
    </dataValidation>
    <dataValidation type="textLength" allowBlank="1" showInputMessage="1" showErrorMessage="1" sqref="C17:E17 C65:E65 C41:E41 C89:E89">
      <formula1>1</formula1>
      <formula2>100</formula2>
    </dataValidation>
    <dataValidation type="textLength" allowBlank="1" showInputMessage="1" showErrorMessage="1" sqref="C18:E18 C66:E66 C42:E42 C90:E90">
      <formula1>4</formula1>
      <formula2>100</formula2>
    </dataValidation>
    <dataValidation type="whole" operator="greaterThanOrEqual" allowBlank="1" showInputMessage="1" showErrorMessage="1" sqref="C19 C67 C43 C91">
      <formula1>0</formula1>
    </dataValidation>
    <dataValidation type="textLength" operator="lessThan" allowBlank="1" showInputMessage="1" showErrorMessage="1" sqref="C37:D37 C13:D13 C61:D61 C85:D85">
      <formula1>25</formula1>
    </dataValidation>
    <dataValidation type="textLength" allowBlank="1" showInputMessage="1" showErrorMessage="1" sqref="C54:F55 C30:F31 C6:C7 D7:F7 C78:F79">
      <formula1>6</formula1>
      <formula2>150</formula2>
    </dataValidation>
    <dataValidation type="textLength" operator="lessThan" allowBlank="1" showInputMessage="1" showErrorMessage="1" sqref="C21 C69 C45 C93">
      <formula1>15</formula1>
    </dataValidation>
    <dataValidation type="textLength" operator="lessThan" allowBlank="1" showInputMessage="1" showErrorMessage="1" sqref="C23:D23 C71:D71 C47:D47 C95:D95">
      <formula1>23</formula1>
    </dataValidation>
  </dataValidations>
  <pageMargins left="0.98425196850393704" right="0.39370078740157483" top="0.98425196850393704" bottom="0.98425196850393704" header="0.51181102362204722" footer="0.51181102362204722"/>
  <pageSetup orientation="landscape"/>
  <headerFooter>
    <oddFooter xml:space="preserve">&amp;C&amp;"Arial,Italic"&amp;8&amp;A&amp;R&amp;"Arial,Italic"&amp;8Page &amp;P of &amp;N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
  <sheetViews>
    <sheetView topLeftCell="A7" zoomScale="124" zoomScaleNormal="85" zoomScalePageLayoutView="85" workbookViewId="0">
      <selection activeCell="A8" sqref="A8"/>
    </sheetView>
  </sheetViews>
  <sheetFormatPr defaultColWidth="9.140625" defaultRowHeight="12.75" x14ac:dyDescent="0.2"/>
  <cols>
    <col min="1" max="1" width="83.28515625" style="3" customWidth="1"/>
    <col min="2" max="2" width="4.28515625" style="3" customWidth="1"/>
    <col min="3" max="3" width="7.42578125" style="3" customWidth="1"/>
    <col min="4" max="4" width="4.28515625" style="3" hidden="1" customWidth="1"/>
    <col min="5" max="5" width="18.85546875" style="3" customWidth="1"/>
    <col min="6" max="16384" width="9.140625" style="3"/>
  </cols>
  <sheetData>
    <row r="1" spans="1:4" ht="15.75" x14ac:dyDescent="0.2">
      <c r="A1" s="256" t="s">
        <v>150</v>
      </c>
      <c r="B1" s="257"/>
      <c r="C1" s="257"/>
    </row>
    <row r="2" spans="1:4" ht="12.75" customHeight="1" x14ac:dyDescent="0.25">
      <c r="A2" s="13"/>
    </row>
    <row r="3" spans="1:4" ht="78.75" customHeight="1" x14ac:dyDescent="0.2">
      <c r="A3" s="258" t="s">
        <v>598</v>
      </c>
      <c r="B3" s="18"/>
      <c r="C3" s="18"/>
      <c r="D3" s="3" t="str">
        <f>IF(A5&lt;&gt;"",A3,0)</f>
        <v>Please describe the rationale and relevance of the proposed project Summary of the project. Justification for the proposed component and its contribution to the overall and specific objectives of the Programme. Location, duration, target groups and the role of responsible partners. Expected outputs to be realised and results to be achieved. Cross-border character and benefit of the proposed project. 
(max. 4000 characters, - in 4 cells 1000 characters in each, to avoid format problems)</v>
      </c>
    </row>
    <row r="4" spans="1:4" ht="6" customHeight="1" x14ac:dyDescent="0.2">
      <c r="A4" s="258"/>
      <c r="B4" s="18"/>
      <c r="C4" s="18"/>
    </row>
    <row r="5" spans="1:4" ht="153" x14ac:dyDescent="0.2">
      <c r="A5" s="273" t="s">
        <v>1010</v>
      </c>
      <c r="B5" s="275">
        <f>LEN(A5)</f>
        <v>1000</v>
      </c>
      <c r="C5" s="275" t="s">
        <v>213</v>
      </c>
    </row>
    <row r="6" spans="1:4" ht="140.25" x14ac:dyDescent="0.2">
      <c r="A6" s="274" t="s">
        <v>1012</v>
      </c>
      <c r="B6" s="275">
        <f>LEN(A6)</f>
        <v>986</v>
      </c>
      <c r="C6" s="275" t="s">
        <v>213</v>
      </c>
    </row>
    <row r="7" spans="1:4" ht="140.25" x14ac:dyDescent="0.2">
      <c r="A7" s="532" t="s">
        <v>1022</v>
      </c>
      <c r="B7" s="275">
        <f>LEN(A7)</f>
        <v>991</v>
      </c>
      <c r="C7" s="275" t="s">
        <v>213</v>
      </c>
    </row>
    <row r="8" spans="1:4" ht="140.25" x14ac:dyDescent="0.2">
      <c r="A8" s="531" t="s">
        <v>1024</v>
      </c>
      <c r="B8" s="275">
        <f>LEN(A8)</f>
        <v>986</v>
      </c>
      <c r="C8" s="275" t="s">
        <v>213</v>
      </c>
    </row>
    <row r="10" spans="1:4" x14ac:dyDescent="0.2">
      <c r="B10" s="163"/>
    </row>
  </sheetData>
  <sheetProtection password="F58B" sheet="1" objects="1" scenarios="1" formatCells="0" selectLockedCells="1"/>
  <phoneticPr fontId="3" type="noConversion"/>
  <conditionalFormatting sqref="A3:C4">
    <cfRule type="cellIs" dxfId="271" priority="1" stopIfTrue="1" operator="notEqual">
      <formula>$D$3</formula>
    </cfRule>
  </conditionalFormatting>
  <dataValidations count="1">
    <dataValidation type="textLength" operator="lessThanOrEqual" allowBlank="1" showInputMessage="1" showErrorMessage="1" sqref="A5:A8">
      <formula1>1000</formula1>
    </dataValidation>
  </dataValidations>
  <pageMargins left="0.98425196850393704" right="0.19685039370078741" top="0.47244094488188981" bottom="0.31496062992125984" header="0.23622047244094491" footer="0.11811023622047245"/>
  <pageSetup orientation="landscape" horizontalDpi="300" verticalDpi="300"/>
  <headerFooter>
    <oddFooter xml:space="preserve">&amp;C&amp;"Arial,Italic"&amp;8&amp;A&amp;R&amp;"Arial,Italic"&amp;8Page &amp;P of &amp;N </oddFooter>
  </headerFooter>
  <drawing r:id="rId1"/>
  <legacyDrawing r:id="rId2"/>
  <mc:AlternateContent xmlns:mc="http://schemas.openxmlformats.org/markup-compatibility/2006">
    <mc:Choice Requires="x14">
      <controls>
        <mc:AlternateContent xmlns:mc="http://schemas.openxmlformats.org/markup-compatibility/2006">
          <mc:Choice Requires="x14">
            <control shapeId="28673" r:id="rId3" name="Check Box 1">
              <controlPr defaultSize="0" autoFill="0" autoLine="0" autoPict="0">
                <anchor moveWithCells="1" sizeWithCells="1">
                  <from>
                    <xdr:col>0</xdr:col>
                    <xdr:colOff>0</xdr:colOff>
                    <xdr:row>8</xdr:row>
                    <xdr:rowOff>0</xdr:rowOff>
                  </from>
                  <to>
                    <xdr:col>0</xdr:col>
                    <xdr:colOff>0</xdr:colOff>
                    <xdr:row>8</xdr:row>
                    <xdr:rowOff>0</xdr:rowOff>
                  </to>
                </anchor>
              </controlPr>
            </control>
          </mc:Choice>
        </mc:AlternateContent>
        <mc:AlternateContent xmlns:mc="http://schemas.openxmlformats.org/markup-compatibility/2006">
          <mc:Choice Requires="x14">
            <control shapeId="28674" r:id="rId4" name="Check Box 2">
              <controlPr defaultSize="0" autoFill="0" autoLine="0" autoPict="0">
                <anchor moveWithCells="1" sizeWithCells="1">
                  <from>
                    <xdr:col>0</xdr:col>
                    <xdr:colOff>0</xdr:colOff>
                    <xdr:row>8</xdr:row>
                    <xdr:rowOff>0</xdr:rowOff>
                  </from>
                  <to>
                    <xdr:col>0</xdr:col>
                    <xdr:colOff>0</xdr:colOff>
                    <xdr:row>8</xdr:row>
                    <xdr:rowOff>0</xdr:rowOff>
                  </to>
                </anchor>
              </controlPr>
            </control>
          </mc:Choice>
        </mc:AlternateContent>
        <mc:AlternateContent xmlns:mc="http://schemas.openxmlformats.org/markup-compatibility/2006">
          <mc:Choice Requires="x14">
            <control shapeId="28675" r:id="rId5" name="Check Box 3">
              <controlPr defaultSize="0" autoFill="0" autoLine="0" autoPict="0">
                <anchor moveWithCells="1" sizeWithCells="1">
                  <from>
                    <xdr:col>0</xdr:col>
                    <xdr:colOff>0</xdr:colOff>
                    <xdr:row>8</xdr:row>
                    <xdr:rowOff>0</xdr:rowOff>
                  </from>
                  <to>
                    <xdr:col>0</xdr:col>
                    <xdr:colOff>0</xdr:colOff>
                    <xdr:row>8</xdr:row>
                    <xdr:rowOff>0</xdr:rowOff>
                  </to>
                </anchor>
              </controlPr>
            </control>
          </mc:Choice>
        </mc:AlternateContent>
        <mc:AlternateContent xmlns:mc="http://schemas.openxmlformats.org/markup-compatibility/2006">
          <mc:Choice Requires="x14">
            <control shapeId="28676" r:id="rId6" name="Check Box 4">
              <controlPr defaultSize="0" autoFill="0" autoLine="0" autoPict="0">
                <anchor moveWithCells="1" sizeWithCells="1">
                  <from>
                    <xdr:col>0</xdr:col>
                    <xdr:colOff>0</xdr:colOff>
                    <xdr:row>8</xdr:row>
                    <xdr:rowOff>0</xdr:rowOff>
                  </from>
                  <to>
                    <xdr:col>0</xdr:col>
                    <xdr:colOff>0</xdr:colOff>
                    <xdr:row>8</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topLeftCell="A41" zoomScale="110" zoomScaleNormal="110" zoomScalePageLayoutView="110" workbookViewId="0">
      <selection activeCell="A8" sqref="A8"/>
    </sheetView>
  </sheetViews>
  <sheetFormatPr defaultColWidth="9.140625" defaultRowHeight="12.75" x14ac:dyDescent="0.2"/>
  <cols>
    <col min="1" max="1" width="105.42578125" style="3" customWidth="1"/>
    <col min="2" max="2" width="13.85546875" style="3" hidden="1" customWidth="1"/>
    <col min="3" max="3" width="10.28515625" style="3" hidden="1" customWidth="1"/>
    <col min="4" max="6" width="9.140625" style="3" hidden="1" customWidth="1"/>
    <col min="7" max="8" width="0" style="3" hidden="1" customWidth="1"/>
    <col min="9" max="16384" width="9.140625" style="3"/>
  </cols>
  <sheetData>
    <row r="1" spans="1:2" hidden="1" x14ac:dyDescent="0.2"/>
    <row r="2" spans="1:2" ht="14.25" customHeight="1" x14ac:dyDescent="0.25">
      <c r="A2" s="74" t="s">
        <v>165</v>
      </c>
      <c r="B2" s="483" t="str">
        <f>T(LEFT('1. General Data'!E25,5))</f>
        <v>2.1.1</v>
      </c>
    </row>
    <row r="3" spans="1:2" ht="10.5" customHeight="1" x14ac:dyDescent="0.25">
      <c r="A3" s="13"/>
    </row>
    <row r="4" spans="1:2" ht="20.25" customHeight="1" x14ac:dyDescent="0.2">
      <c r="A4" s="472" t="s">
        <v>176</v>
      </c>
    </row>
    <row r="5" spans="1:2" ht="15" x14ac:dyDescent="0.25">
      <c r="A5" s="51"/>
    </row>
    <row r="6" spans="1:2" ht="51" x14ac:dyDescent="0.2">
      <c r="A6" s="471" t="s">
        <v>583</v>
      </c>
      <c r="B6" s="3" t="str">
        <f>IF(OR(A8&lt;&gt;"",A9&lt;&gt;""),A6,0)</f>
        <v>a)      Background 
Motivation for proposing the project: preparations already carried out in relation to the project. Finished projects that serve as background or starting point towards the present project: explorations, surveys, studies, other documents or an earlier stage of an investment which are related to the preparation of this project. (max. 2000 characters)</v>
      </c>
    </row>
    <row r="7" spans="1:2" ht="9.75" customHeight="1" x14ac:dyDescent="0.2">
      <c r="A7" s="475" t="str">
        <f>CONCATENATE(LEN(A8)," + ",LEN(A9)," ","/2000 chr.")</f>
        <v>766 + 995 /2000 chr.</v>
      </c>
    </row>
    <row r="8" spans="1:2" ht="89.25" x14ac:dyDescent="0.2">
      <c r="A8" s="533" t="s">
        <v>1053</v>
      </c>
    </row>
    <row r="9" spans="1:2" ht="114.75" x14ac:dyDescent="0.2">
      <c r="A9" s="516" t="s">
        <v>974</v>
      </c>
    </row>
    <row r="10" spans="1:2" ht="14.25" x14ac:dyDescent="0.2">
      <c r="A10" s="52"/>
    </row>
    <row r="11" spans="1:2" ht="51" x14ac:dyDescent="0.2">
      <c r="A11" s="471" t="s">
        <v>586</v>
      </c>
      <c r="B11" s="3" t="str">
        <f>IF(OR(A13&lt;&gt;"",A14&lt;&gt;""),A11,0)</f>
        <v>b)      Problem, challenge to be addressed
Justification of  the necessity of the project. Description of  problems with cross-border nature to be resolved and needs to be met, relating to the target area and/or group of people. The conclusions of already elaborated surveys on the subject can be referred to as to prove the importance of the project. (max. 2000 characters)</v>
      </c>
    </row>
    <row r="12" spans="1:2" ht="9.75" customHeight="1" x14ac:dyDescent="0.2">
      <c r="A12" s="475" t="str">
        <f>CONCATENATE(LEN(A13)," + ",LEN(A14)," ","/2000 chr.")</f>
        <v>937 + 997 /2000 chr.</v>
      </c>
    </row>
    <row r="13" spans="1:2" ht="102" x14ac:dyDescent="0.2">
      <c r="A13" s="515" t="s">
        <v>741</v>
      </c>
    </row>
    <row r="14" spans="1:2" ht="127.5" x14ac:dyDescent="0.2">
      <c r="A14" s="516" t="s">
        <v>975</v>
      </c>
    </row>
    <row r="15" spans="1:2" ht="13.5" x14ac:dyDescent="0.2">
      <c r="A15" s="53"/>
    </row>
    <row r="16" spans="1:2" ht="38.25" customHeight="1" x14ac:dyDescent="0.2">
      <c r="A16" s="471" t="s">
        <v>587</v>
      </c>
      <c r="B16" s="3" t="str">
        <f>IF(OR(A18&lt;&gt;"",A19&lt;&gt;""),A16,0)</f>
        <v>c)      Target groups
Identification and justification of the target-groups of the project. Target-groups directly and indirectly benefiting from the project. (max. 2000 characters)</v>
      </c>
    </row>
    <row r="17" spans="1:2" ht="9.75" customHeight="1" x14ac:dyDescent="0.2">
      <c r="A17" s="475" t="str">
        <f>CONCATENATE(LEN(A18)," + ",LEN(A19)," ","/2000 chr.")</f>
        <v>909 + 640 /2000 chr.</v>
      </c>
    </row>
    <row r="18" spans="1:2" ht="102" x14ac:dyDescent="0.2">
      <c r="A18" s="515" t="s">
        <v>1011</v>
      </c>
    </row>
    <row r="19" spans="1:2" ht="127.5" x14ac:dyDescent="0.2">
      <c r="A19" s="516" t="s">
        <v>744</v>
      </c>
    </row>
    <row r="20" spans="1:2" ht="14.25" customHeight="1" x14ac:dyDescent="0.2">
      <c r="A20" s="54"/>
    </row>
    <row r="21" spans="1:2" ht="63" customHeight="1" x14ac:dyDescent="0.2">
      <c r="A21" s="471" t="s">
        <v>588</v>
      </c>
      <c r="B21" s="3" t="str">
        <f>IF(OR(A23&lt;&gt;"",A24&lt;&gt;""),A21,0)</f>
        <v>d)      Objectives of the project
Description of  the overall objectives of the project. It should reveal connection between the project and the component. Short and long term perspectives that a project may contribute to. Specific (and secondary) objectives that will be reached during project implementation. The objectives have to be measurable by indicators. (max. 2000 characters)</v>
      </c>
    </row>
    <row r="22" spans="1:2" ht="9.75" customHeight="1" x14ac:dyDescent="0.2">
      <c r="A22" s="475" t="str">
        <f>CONCATENATE(LEN(A23)," + ",LEN(A24)," ","/2000 chr.")</f>
        <v>1000 + 581 /2000 chr.</v>
      </c>
    </row>
    <row r="23" spans="1:2" ht="140.25" x14ac:dyDescent="0.2">
      <c r="A23" s="515" t="s">
        <v>742</v>
      </c>
    </row>
    <row r="24" spans="1:2" ht="63.75" x14ac:dyDescent="0.2">
      <c r="A24" s="516" t="s">
        <v>743</v>
      </c>
    </row>
    <row r="25" spans="1:2" ht="14.25" x14ac:dyDescent="0.2">
      <c r="A25" s="56"/>
    </row>
    <row r="26" spans="1:2" ht="38.25" x14ac:dyDescent="0.2">
      <c r="A26" s="471" t="s">
        <v>589</v>
      </c>
      <c r="B26" s="3" t="str">
        <f>IF(OR(A28&lt;&gt;"",A29&lt;&gt;""),A26,0)</f>
        <v xml:space="preserve">e)      Expected outputs, results; durability of results
Description of planned outputs (tangible goods, services, infrastructure) and expected results. It has to be in harmony with the indicators given in another sheet.  (max. 2000 character) </v>
      </c>
    </row>
    <row r="27" spans="1:2" ht="9.75" customHeight="1" x14ac:dyDescent="0.2">
      <c r="A27" s="475" t="str">
        <f>CONCATENATE(LEN(A28)," + ",LEN(A29)," ","/2000 chr.")</f>
        <v>911 + 774 /2000 chr.</v>
      </c>
    </row>
    <row r="28" spans="1:2" ht="102" x14ac:dyDescent="0.2">
      <c r="A28" s="515" t="s">
        <v>1019</v>
      </c>
    </row>
    <row r="29" spans="1:2" ht="89.25" x14ac:dyDescent="0.2">
      <c r="A29" s="516" t="s">
        <v>963</v>
      </c>
    </row>
    <row r="30" spans="1:2" ht="14.25" x14ac:dyDescent="0.2">
      <c r="A30" s="56"/>
    </row>
    <row r="31" spans="1:2" ht="36.75" customHeight="1" x14ac:dyDescent="0.2">
      <c r="A31" s="471" t="s">
        <v>158</v>
      </c>
      <c r="B31" s="3" t="str">
        <f>IF(AND(A34&lt;&gt;"",A38&lt;&gt;""),A31,0)</f>
        <v>f)      Benefits of the project</v>
      </c>
    </row>
    <row r="32" spans="1:2" ht="12.75" customHeight="1" x14ac:dyDescent="0.2">
      <c r="A32" s="473" t="s">
        <v>584</v>
      </c>
    </row>
    <row r="33" spans="1:2" ht="9.75" customHeight="1" x14ac:dyDescent="0.2">
      <c r="A33" s="475" t="str">
        <f>CONCATENATE(LEN(A34)," ","/1000 chr.")</f>
        <v>963 /1000 chr.</v>
      </c>
    </row>
    <row r="34" spans="1:2" ht="102" x14ac:dyDescent="0.2">
      <c r="A34" s="517" t="s">
        <v>1023</v>
      </c>
    </row>
    <row r="35" spans="1:2" ht="9" customHeight="1" x14ac:dyDescent="0.2">
      <c r="A35" s="55"/>
    </row>
    <row r="36" spans="1:2" ht="12.75" customHeight="1" x14ac:dyDescent="0.2">
      <c r="A36" s="473" t="s">
        <v>585</v>
      </c>
    </row>
    <row r="37" spans="1:2" ht="9.75" customHeight="1" x14ac:dyDescent="0.2">
      <c r="A37" s="475" t="str">
        <f>CONCATENATE(LEN(A38)," ","/1000 chr.")</f>
        <v>525 /1000 chr.</v>
      </c>
    </row>
    <row r="38" spans="1:2" ht="63.75" x14ac:dyDescent="0.2">
      <c r="A38" s="517" t="s">
        <v>745</v>
      </c>
    </row>
    <row r="39" spans="1:2" ht="14.25" customHeight="1" x14ac:dyDescent="0.2">
      <c r="A39" s="223"/>
    </row>
    <row r="40" spans="1:2" ht="51.75" customHeight="1" x14ac:dyDescent="0.2">
      <c r="A40" s="471" t="s">
        <v>600</v>
      </c>
      <c r="B40" s="3" t="str">
        <f>IF(OR(A42&lt;&gt;"",A43&lt;&gt;""),A40,0)</f>
        <v>g)      Methodological approach
Detailed description of the method of the implementation, and reasons for the proposed methodology. Organisational structure for the implementation of the project. (max 2000 characters)</v>
      </c>
    </row>
    <row r="41" spans="1:2" ht="9.75" customHeight="1" x14ac:dyDescent="0.2">
      <c r="A41" s="475" t="str">
        <f>CONCATENATE(LEN(A42)," + ",LEN(A43)," ","/2000 chr.")</f>
        <v>999 + 604 /2000 chr.</v>
      </c>
    </row>
    <row r="42" spans="1:2" ht="114.75" x14ac:dyDescent="0.2">
      <c r="A42" s="515" t="s">
        <v>755</v>
      </c>
    </row>
    <row r="43" spans="1:2" ht="63.75" x14ac:dyDescent="0.2">
      <c r="A43" s="516" t="s">
        <v>756</v>
      </c>
    </row>
    <row r="44" spans="1:2" ht="15" x14ac:dyDescent="0.25">
      <c r="A44" s="57"/>
    </row>
    <row r="45" spans="1:2" ht="49.5" customHeight="1" x14ac:dyDescent="0.2">
      <c r="A45" s="471" t="s">
        <v>590</v>
      </c>
      <c r="B45" s="3" t="str">
        <f>IF(OR(A47&lt;&gt;"",A48&lt;&gt;""),A45,0)</f>
        <v>h)      Innovative character
Description of added value and innovative elements of the project. New technologies or new solutions by which the project objectives can be reached more efficiently compared to usual initiatives and by which the project can create best practices in the field.  (max. 2000 characters)</v>
      </c>
    </row>
    <row r="46" spans="1:2" ht="9.75" customHeight="1" x14ac:dyDescent="0.2">
      <c r="A46" s="475" t="str">
        <f>CONCATENATE(LEN(A47)," + ",LEN(A48)," ","/2000 chr.")</f>
        <v>1000 + 332 /2000 chr.</v>
      </c>
    </row>
    <row r="47" spans="1:2" ht="114.75" x14ac:dyDescent="0.2">
      <c r="A47" s="515" t="s">
        <v>948</v>
      </c>
    </row>
    <row r="48" spans="1:2" ht="38.25" x14ac:dyDescent="0.2">
      <c r="A48" s="516" t="s">
        <v>949</v>
      </c>
    </row>
    <row r="49" spans="1:2" ht="13.5" customHeight="1" x14ac:dyDescent="0.25">
      <c r="A49" s="57"/>
    </row>
    <row r="50" spans="1:2" ht="39.75" customHeight="1" x14ac:dyDescent="0.2">
      <c r="A50" s="471" t="s">
        <v>591</v>
      </c>
      <c r="B50" s="3" t="str">
        <f>IF(OR(A52&lt;&gt;"",A53&lt;&gt;""),A50,0)</f>
        <v>i)      Sustainability and capitalization of project results
After project closure sustainability period of minimum 5 years starts.  Description of how  the professional, financial and institutional sustainability of the project will be assured.  (max. 2000 characters)</v>
      </c>
    </row>
    <row r="51" spans="1:2" ht="9.75" customHeight="1" x14ac:dyDescent="0.2">
      <c r="A51" s="475" t="str">
        <f>CONCATENATE(LEN(A52)," + ",LEN(A53)," ","/2000 chr.")</f>
        <v>719 + 552 /2000 chr.</v>
      </c>
    </row>
    <row r="52" spans="1:2" ht="102" x14ac:dyDescent="0.2">
      <c r="A52" s="515" t="s">
        <v>950</v>
      </c>
    </row>
    <row r="53" spans="1:2" ht="63.75" x14ac:dyDescent="0.2">
      <c r="A53" s="516" t="s">
        <v>951</v>
      </c>
    </row>
    <row r="54" spans="1:2" ht="15" x14ac:dyDescent="0.25">
      <c r="A54" s="57"/>
    </row>
    <row r="55" spans="1:2" ht="47.25" customHeight="1" x14ac:dyDescent="0.2">
      <c r="A55" s="471" t="s">
        <v>592</v>
      </c>
      <c r="B55" s="3" t="str">
        <f>IF(OR(A57&lt;&gt;"",A58&lt;&gt;""),A55,0)</f>
        <v>j)      Multiplier effect
Short description of  the possibilities for replication and extension of the outcomes. Ideas and plans how to carry on with the development (if there is any) after project closure. (max. 2000 characters)</v>
      </c>
    </row>
    <row r="56" spans="1:2" ht="9.75" customHeight="1" x14ac:dyDescent="0.2">
      <c r="A56" s="475" t="str">
        <f>CONCATENATE(LEN(A57)," + ",LEN(A58)," ","/2000 chr.")</f>
        <v>919 + 803 /2000 chr.</v>
      </c>
    </row>
    <row r="57" spans="1:2" ht="102" x14ac:dyDescent="0.2">
      <c r="A57" s="515" t="s">
        <v>1038</v>
      </c>
    </row>
    <row r="58" spans="1:2" ht="89.25" x14ac:dyDescent="0.2">
      <c r="A58" s="516" t="s">
        <v>952</v>
      </c>
    </row>
    <row r="59" spans="1:2" ht="15" x14ac:dyDescent="0.25">
      <c r="A59" s="57"/>
    </row>
    <row r="60" spans="1:2" ht="49.5" customHeight="1" x14ac:dyDescent="0.2">
      <c r="A60" s="471" t="s">
        <v>593</v>
      </c>
      <c r="B60" s="3" t="str">
        <f>IF(OR(A62&lt;&gt;"",A63&lt;&gt;""),A60,0)</f>
        <v xml:space="preserve">k)      Risk management (possible internal/external constraints and solutions foreseen)
Description of possible general risk factors (e.g. financial, organizational, etc.) the project will face, and the specific risks and obstacles in connection with the project activities. Their probability, the impact on project activities in case of emergence, and the measures to handle them.    (max. 2000 characters)    </v>
      </c>
    </row>
    <row r="61" spans="1:2" ht="9.75" customHeight="1" x14ac:dyDescent="0.2">
      <c r="A61" s="475" t="str">
        <f>CONCATENATE(LEN(A62)," + ",LEN(A63)," ","/2000 chr.")</f>
        <v>1000 + 689 /2000 chr.</v>
      </c>
    </row>
    <row r="62" spans="1:2" ht="127.5" x14ac:dyDescent="0.2">
      <c r="A62" s="515" t="s">
        <v>953</v>
      </c>
    </row>
    <row r="63" spans="1:2" ht="102" x14ac:dyDescent="0.2">
      <c r="A63" s="516" t="s">
        <v>954</v>
      </c>
    </row>
    <row r="64" spans="1:2" ht="15" x14ac:dyDescent="0.25">
      <c r="A64" s="57"/>
    </row>
    <row r="65" spans="1:2" ht="48.75" customHeight="1" x14ac:dyDescent="0.2">
      <c r="A65" s="471" t="s">
        <v>594</v>
      </c>
      <c r="B65" s="3" t="str">
        <f>IF(OR(A67&lt;&gt;"",A68&lt;&gt;""),A65,0)</f>
        <v>l)      Cross-border impact
Measurable impacts that  will be generated by the project on either side of the border. A long lasting social/economical/environmental effect, consequence directly linked to the implemented project. (max. 2000 characters)</v>
      </c>
    </row>
    <row r="66" spans="1:2" ht="9.75" customHeight="1" x14ac:dyDescent="0.2">
      <c r="A66" s="475" t="str">
        <f>CONCATENATE(LEN(A67)," + ",LEN(A68)," ","/2000 chr.")</f>
        <v>794 + 359 /2000 chr.</v>
      </c>
    </row>
    <row r="67" spans="1:2" ht="178.5" x14ac:dyDescent="0.2">
      <c r="A67" s="515" t="s">
        <v>955</v>
      </c>
    </row>
    <row r="68" spans="1:2" ht="76.5" x14ac:dyDescent="0.2">
      <c r="A68" s="516" t="s">
        <v>956</v>
      </c>
    </row>
    <row r="69" spans="1:2" ht="15" x14ac:dyDescent="0.25">
      <c r="A69" s="57"/>
    </row>
    <row r="70" spans="1:2" ht="14.25" customHeight="1" x14ac:dyDescent="0.2">
      <c r="A70" s="472" t="s">
        <v>31</v>
      </c>
    </row>
    <row r="71" spans="1:2" ht="5.25" customHeight="1" x14ac:dyDescent="0.2">
      <c r="A71" s="223"/>
    </row>
    <row r="72" spans="1:2" ht="89.25" x14ac:dyDescent="0.2">
      <c r="A72" s="474" t="s">
        <v>595</v>
      </c>
      <c r="B72" s="3" t="str">
        <f>IF(OR(A74&lt;&gt;"",A75&lt;&gt;""),A72,0)</f>
        <v>a)      Consistency of the project with EU horizontal principles on equal opportunities and non-discrimination 
Projects should contribute to the horizontal principle of equal opportunities and non-discrimination (see Chapter 4.4 HORIZONTAL POLICIES of the Guidelines for Applicants). Please describe in detail how your organisation/project contributes to the needs of the chosen target-group and in what form. Identify how you can help and promote the integration of disadvantaged people, and what is the benefit of the project for them. Please, indicate which beneficiary organisation(s) will be responsible for the activity planned and what measurable output/result will be realised.    (max. 2000 characters)</v>
      </c>
    </row>
    <row r="73" spans="1:2" ht="12.75" customHeight="1" x14ac:dyDescent="0.2">
      <c r="A73" s="475" t="str">
        <f>CONCATENATE(LEN(A74)," + ",LEN(A75)," ","/2000 chr.")</f>
        <v>829 + 726 /2000 chr.</v>
      </c>
    </row>
    <row r="74" spans="1:2" ht="114.75" x14ac:dyDescent="0.2">
      <c r="A74" s="515" t="s">
        <v>960</v>
      </c>
    </row>
    <row r="75" spans="1:2" ht="114.75" x14ac:dyDescent="0.2">
      <c r="A75" s="516" t="s">
        <v>961</v>
      </c>
    </row>
    <row r="76" spans="1:2" ht="12.75" customHeight="1" x14ac:dyDescent="0.2">
      <c r="A76" s="223"/>
    </row>
    <row r="77" spans="1:2" ht="63.75" x14ac:dyDescent="0.2">
      <c r="A77" s="473" t="s">
        <v>596</v>
      </c>
      <c r="B77" s="3" t="str">
        <f>IF(OR(A79&lt;&gt;"",A80&lt;&gt;""),A77,0)</f>
        <v xml:space="preserve">b)       Consistency of the project with EU horizontal principles on sustainable development
Projects has to contribute to the horizontal principle of sustainable development. Please describe in detail how your organisation/project contributes to sustainable development, and in what form. Identify what impact your project has on the environment, and in what extent. Please, indicate which beneficiary organisation(s) will be responsible for the planned activity and what measurable output/result will be realised.(max. 2000 characters):                                                           </v>
      </c>
    </row>
    <row r="78" spans="1:2" ht="9.75" customHeight="1" x14ac:dyDescent="0.2">
      <c r="A78" s="475" t="str">
        <f>CONCATENATE(LEN(A79)," + ",LEN(A80)," ","/2000 chr.")</f>
        <v>721 + 296 /2000 chr.</v>
      </c>
    </row>
    <row r="79" spans="1:2" ht="76.5" x14ac:dyDescent="0.2">
      <c r="A79" s="515" t="s">
        <v>962</v>
      </c>
      <c r="B79" s="58"/>
    </row>
    <row r="80" spans="1:2" ht="38.25" x14ac:dyDescent="0.2">
      <c r="A80" s="516" t="s">
        <v>1039</v>
      </c>
      <c r="B80" s="2"/>
    </row>
    <row r="81" spans="1:2" ht="12" customHeight="1" x14ac:dyDescent="0.2">
      <c r="A81" s="223"/>
      <c r="B81" s="2"/>
    </row>
    <row r="82" spans="1:2" ht="51.75" customHeight="1" x14ac:dyDescent="0.2">
      <c r="A82" s="471" t="s">
        <v>597</v>
      </c>
      <c r="B82" s="3" t="str">
        <f>IF(OR(A84&lt;&gt;"",A85&lt;&gt;""),A82,0)</f>
        <v>c)      Synergies with macro-regional strategies, other policies, programmes and projects
Synergy of the planned project with other EU funded projects or other development initiatives in the relevant field  located in the geographical vicinity which are finished or under implementation. How are they complementing each other?  (max. 2000 characters)</v>
      </c>
    </row>
    <row r="83" spans="1:2" ht="9.75" customHeight="1" x14ac:dyDescent="0.2">
      <c r="A83" s="475" t="str">
        <f>CONCATENATE(LEN(A84)," + ",LEN(A85)," ","/2000 chr.")</f>
        <v>986 + 999 /2000 chr.</v>
      </c>
    </row>
    <row r="84" spans="1:2" ht="153" x14ac:dyDescent="0.2">
      <c r="A84" s="515" t="s">
        <v>958</v>
      </c>
    </row>
    <row r="85" spans="1:2" ht="178.5" x14ac:dyDescent="0.2">
      <c r="A85" s="516" t="s">
        <v>959</v>
      </c>
    </row>
    <row r="86" spans="1:2" ht="15" x14ac:dyDescent="0.25">
      <c r="A86" s="57"/>
    </row>
    <row r="87" spans="1:2" ht="14.25" customHeight="1" x14ac:dyDescent="0.2">
      <c r="A87" s="472" t="s">
        <v>360</v>
      </c>
    </row>
    <row r="88" spans="1:2" ht="6" customHeight="1" x14ac:dyDescent="0.2">
      <c r="A88" s="223"/>
    </row>
    <row r="89" spans="1:2" ht="100.5" customHeight="1" x14ac:dyDescent="0.2">
      <c r="A89" s="471" t="str">
        <f>IF(LEN($B$2)=0,"Q1  (max. 2000 characters)",CONCATENATE("1. ",HLOOKUP($B$2,A$116:H$121,2,FALSE)," (max. 2000 characters)"))</f>
        <v>1. Connection with networks
Please present the connection(s) which will be created in the frame of the project with EuroVelo 6 or 13, national or local networks and with towns, or other significant tourism destinations. (max. 2000 characters)</v>
      </c>
      <c r="B89" s="3" t="str">
        <f>IF(OR(A91&lt;&gt;"",A92&lt;&gt;""),A89,0)</f>
        <v>1. Connection with networks
Please present the connection(s) which will be created in the frame of the project with EuroVelo 6 or 13, national or local networks and with towns, or other significant tourism destinations. (max. 2000 characters)</v>
      </c>
    </row>
    <row r="90" spans="1:2" ht="9.75" customHeight="1" x14ac:dyDescent="0.2">
      <c r="A90" s="475" t="str">
        <f>CONCATENATE(LEN(A91)," + ",LEN(A92)," ","/2000 chr.")</f>
        <v>833 + 501 /2000 chr.</v>
      </c>
    </row>
    <row r="91" spans="1:2" ht="102" x14ac:dyDescent="0.2">
      <c r="A91" s="515" t="s">
        <v>977</v>
      </c>
    </row>
    <row r="92" spans="1:2" ht="63.75" x14ac:dyDescent="0.2">
      <c r="A92" s="516" t="s">
        <v>976</v>
      </c>
    </row>
    <row r="93" spans="1:2" ht="10.5" customHeight="1" x14ac:dyDescent="0.2">
      <c r="A93" s="52"/>
    </row>
    <row r="94" spans="1:2" ht="100.5" customHeight="1" x14ac:dyDescent="0.2">
      <c r="A94" s="471" t="str">
        <f>IF(LEN($B$2)=0,"Q2  (max. 2000 characters)",CONCATENATE("2. ",HLOOKUP($B$2,A$116:H$121,3,FALSE)," (max. 2000 characters)"))</f>
        <v>2. Quality of connection
Please describe the system of bicycle network (both HU and HR parts together) to be developed in the frame of the project and the contribution of the project to create a continous network. How the development solves the existing bottlenecks of the national or international bicycle networks? (max. 2000 characters)</v>
      </c>
      <c r="B94" s="3" t="str">
        <f>IF(OR(A96&lt;&gt;"",A97&lt;&gt;""),A94,0)</f>
        <v>2. Quality of connection
Please describe the system of bicycle network (both HU and HR parts together) to be developed in the frame of the project and the contribution of the project to create a continous network. How the development solves the existing bottlenecks of the national or international bicycle networks? (max. 2000 characters)</v>
      </c>
    </row>
    <row r="95" spans="1:2" ht="9.75" customHeight="1" x14ac:dyDescent="0.2">
      <c r="A95" s="475" t="str">
        <f>CONCATENATE(LEN(A96)," + ",LEN(A97)," ","/2000 chr.")</f>
        <v>868 + 874 /2000 chr.</v>
      </c>
    </row>
    <row r="96" spans="1:2" ht="114.75" x14ac:dyDescent="0.2">
      <c r="A96" s="515" t="s">
        <v>945</v>
      </c>
    </row>
    <row r="97" spans="1:2" ht="114.75" x14ac:dyDescent="0.2">
      <c r="A97" s="516" t="s">
        <v>978</v>
      </c>
    </row>
    <row r="98" spans="1:2" ht="13.5" x14ac:dyDescent="0.2">
      <c r="A98" s="53"/>
    </row>
    <row r="99" spans="1:2" ht="100.5" customHeight="1" x14ac:dyDescent="0.2">
      <c r="A99" s="471" t="str">
        <f>IF(LEN($B$2)=0,"Q3  (max. 2000 characters)",CONCATENATE("3. ",HLOOKUP($B$2,A$116:H$121,4,FALSE)," (max. 2000 characters)"))</f>
        <v>3. Conformity with tourism needs
Please describe the foreseen positive effects of the project on regional or local tourism and the connection to tourism attractions, products and touristic services (see also Handbook to Tourism Projects of the programme area). (max. 2000 characters)</v>
      </c>
      <c r="B99" s="3" t="str">
        <f>IF(OR(A101&lt;&gt;"",A102&lt;&gt;""),A99,0)</f>
        <v>3. Conformity with tourism needs
Please describe the foreseen positive effects of the project on regional or local tourism and the connection to tourism attractions, products and touristic services (see also Handbook to Tourism Projects of the programme area). (max. 2000 characters)</v>
      </c>
    </row>
    <row r="100" spans="1:2" ht="9.75" customHeight="1" x14ac:dyDescent="0.2">
      <c r="A100" s="475" t="str">
        <f>CONCATENATE(LEN(A101)," + ",LEN(A102)," ","/2000 chr.")</f>
        <v>993 + 974 /2000 chr.</v>
      </c>
    </row>
    <row r="101" spans="1:2" ht="165.75" x14ac:dyDescent="0.2">
      <c r="A101" s="515" t="s">
        <v>942</v>
      </c>
    </row>
    <row r="102" spans="1:2" ht="293.25" x14ac:dyDescent="0.2">
      <c r="A102" s="516" t="s">
        <v>941</v>
      </c>
    </row>
    <row r="103" spans="1:2" ht="14.25" customHeight="1" x14ac:dyDescent="0.2">
      <c r="A103" s="54"/>
    </row>
    <row r="104" spans="1:2" ht="100.5" customHeight="1" x14ac:dyDescent="0.2">
      <c r="A104" s="471" t="str">
        <f>IF(LEN($B$2)=0,"Q4  (max. 2000 characters)",CONCATENATE("4. ",HLOOKUP($B$2,A$116:H$121,5,FALSE)," (max. 2000 characters)"))</f>
        <v>4. Accessibility and supplementary services
Please describe the general accessibility of the public to the bicycle paths to be developed (transport and public transport connections - distance from the main hubs) and those supplementary services that are developed in the frame of the project and will be provided on the affected section (information points, repair places, bicycle stands / storages, resting places etc.). Please also list separately those services that are already existing on the targeted area. (max. 2000 characters)</v>
      </c>
      <c r="B104" s="3" t="str">
        <f>IF(OR(A106&lt;&gt;"",A107&lt;&gt;""),A104,0)</f>
        <v>4. Accessibility and supplementary services
Please describe the general accessibility of the public to the bicycle paths to be developed (transport and public transport connections - distance from the main hubs) and those supplementary services that are developed in the frame of the project and will be provided on the affected section (information points, repair places, bicycle stands / storages, resting places etc.). Please also list separately those services that are already existing on the targeted area. (max. 2000 characters)</v>
      </c>
    </row>
    <row r="105" spans="1:2" ht="9.75" customHeight="1" x14ac:dyDescent="0.2">
      <c r="A105" s="475" t="str">
        <f>CONCATENATE(LEN(A106)," + ",LEN(A107)," ","/2000 chr.")</f>
        <v>702 + 527 /2000 chr.</v>
      </c>
    </row>
    <row r="106" spans="1:2" ht="76.5" x14ac:dyDescent="0.2">
      <c r="A106" s="515" t="s">
        <v>943</v>
      </c>
    </row>
    <row r="107" spans="1:2" ht="140.25" x14ac:dyDescent="0.2">
      <c r="A107" s="516" t="s">
        <v>944</v>
      </c>
    </row>
    <row r="108" spans="1:2" ht="9.75" customHeight="1" x14ac:dyDescent="0.2">
      <c r="A108" s="56"/>
    </row>
    <row r="109" spans="1:2" ht="100.5" customHeight="1" x14ac:dyDescent="0.2">
      <c r="A109" s="471" t="str">
        <f>IF(LEN($B$2)=0,"Q5  (max. 2000 characters)",CONCATENATE("5. ",HLOOKUP($B$2,A$116:H$121,6,FALSE)," (max. 2000 characters)"))</f>
        <v>5. Environmental protection requirements
Please present the measures, steps  the project is taking for the protection of the environment during its operation (in particular the preservation of the good status of the environment with special regard to water resources, the nature and the reduction of waste should be considered). (max. 2000 characters)</v>
      </c>
      <c r="B109" s="3" t="str">
        <f>IF(OR(A111&lt;&gt;"",A112&lt;&gt;""),A109,0)</f>
        <v>5. Environmental protection requirements
Please present the measures, steps  the project is taking for the protection of the environment during its operation (in particular the preservation of the good status of the environment with special regard to water resources, the nature and the reduction of waste should be considered). (max. 2000 characters)</v>
      </c>
    </row>
    <row r="110" spans="1:2" ht="9.75" customHeight="1" x14ac:dyDescent="0.2">
      <c r="A110" s="475" t="str">
        <f>CONCATENATE(LEN(A111)," + ",LEN(A112)," ","/2000 chr.")</f>
        <v>862 + 644 /2000 chr.</v>
      </c>
    </row>
    <row r="111" spans="1:2" ht="114.75" x14ac:dyDescent="0.2">
      <c r="A111" s="515" t="s">
        <v>946</v>
      </c>
    </row>
    <row r="112" spans="1:2" ht="89.25" x14ac:dyDescent="0.2">
      <c r="A112" s="516" t="s">
        <v>947</v>
      </c>
    </row>
    <row r="113" spans="1:8" ht="14.25" x14ac:dyDescent="0.2">
      <c r="A113" s="56"/>
    </row>
    <row r="114" spans="1:8" hidden="1" x14ac:dyDescent="0.2"/>
    <row r="115" spans="1:8" hidden="1" x14ac:dyDescent="0.2">
      <c r="A115" s="3" t="str">
        <f>IF(HLOOKUP($B$2,A$116:H$121,2,FALSE)=0," ",HLOOKUP($B$2,A$116:H$121,2,FALSE))</f>
        <v>Connection with networks
Please present the connection(s) which will be created in the frame of the project with EuroVelo 6 or 13, national or local networks and with towns, or other significant tourism destinations.</v>
      </c>
      <c r="C115" s="36"/>
    </row>
    <row r="116" spans="1:8" hidden="1" x14ac:dyDescent="0.2">
      <c r="A116" s="482" t="s">
        <v>557</v>
      </c>
      <c r="B116" s="476" t="s">
        <v>32</v>
      </c>
      <c r="C116" s="476" t="s">
        <v>183</v>
      </c>
      <c r="D116" s="482" t="s">
        <v>639</v>
      </c>
      <c r="E116" s="476" t="s">
        <v>612</v>
      </c>
      <c r="F116" s="476" t="s">
        <v>618</v>
      </c>
      <c r="G116" s="476" t="s">
        <v>623</v>
      </c>
      <c r="H116" s="482" t="s">
        <v>629</v>
      </c>
    </row>
    <row r="117" spans="1:8" hidden="1" x14ac:dyDescent="0.2">
      <c r="A117" s="477" t="s">
        <v>601</v>
      </c>
      <c r="B117" s="477" t="s">
        <v>606</v>
      </c>
      <c r="C117" s="478" t="s">
        <v>607</v>
      </c>
      <c r="D117" s="477" t="s">
        <v>608</v>
      </c>
      <c r="E117" s="481" t="s">
        <v>613</v>
      </c>
      <c r="F117" s="481" t="s">
        <v>619</v>
      </c>
      <c r="G117" s="477" t="s">
        <v>624</v>
      </c>
      <c r="H117" s="481" t="s">
        <v>630</v>
      </c>
    </row>
    <row r="118" spans="1:8" hidden="1" x14ac:dyDescent="0.2">
      <c r="A118" s="477" t="s">
        <v>602</v>
      </c>
      <c r="B118" s="477" t="s">
        <v>634</v>
      </c>
      <c r="C118" s="477" t="s">
        <v>606</v>
      </c>
      <c r="D118" s="477" t="s">
        <v>638</v>
      </c>
      <c r="E118" s="481" t="s">
        <v>614</v>
      </c>
      <c r="F118" s="481" t="s">
        <v>617</v>
      </c>
      <c r="G118" s="477" t="s">
        <v>625</v>
      </c>
      <c r="H118" s="477" t="s">
        <v>631</v>
      </c>
    </row>
    <row r="119" spans="1:8" hidden="1" x14ac:dyDescent="0.2">
      <c r="A119" s="477" t="s">
        <v>603</v>
      </c>
      <c r="B119" s="477" t="s">
        <v>635</v>
      </c>
      <c r="C119" s="477" t="s">
        <v>637</v>
      </c>
      <c r="D119" s="477" t="s">
        <v>609</v>
      </c>
      <c r="E119" s="481" t="s">
        <v>615</v>
      </c>
      <c r="F119" s="481" t="s">
        <v>620</v>
      </c>
      <c r="G119" s="481" t="s">
        <v>626</v>
      </c>
      <c r="H119" s="481" t="s">
        <v>632</v>
      </c>
    </row>
    <row r="120" spans="1:8" hidden="1" x14ac:dyDescent="0.2">
      <c r="A120" s="477" t="s">
        <v>604</v>
      </c>
      <c r="B120" s="477" t="s">
        <v>636</v>
      </c>
      <c r="C120" s="477" t="s">
        <v>635</v>
      </c>
      <c r="D120" s="477" t="s">
        <v>610</v>
      </c>
      <c r="E120" s="481" t="s">
        <v>616</v>
      </c>
      <c r="F120" s="481" t="s">
        <v>621</v>
      </c>
      <c r="G120" s="477" t="s">
        <v>627</v>
      </c>
      <c r="H120" s="477" t="s">
        <v>627</v>
      </c>
    </row>
    <row r="121" spans="1:8" hidden="1" x14ac:dyDescent="0.2">
      <c r="A121" s="477" t="s">
        <v>605</v>
      </c>
      <c r="B121" s="477" t="s">
        <v>605</v>
      </c>
      <c r="C121" s="477" t="s">
        <v>636</v>
      </c>
      <c r="D121" s="477" t="s">
        <v>611</v>
      </c>
      <c r="E121" s="481" t="s">
        <v>617</v>
      </c>
      <c r="F121" s="481" t="s">
        <v>622</v>
      </c>
      <c r="G121" s="477" t="s">
        <v>628</v>
      </c>
      <c r="H121" s="477" t="s">
        <v>633</v>
      </c>
    </row>
    <row r="122" spans="1:8" x14ac:dyDescent="0.2">
      <c r="A122" s="36"/>
      <c r="C122" s="479"/>
      <c r="D122" s="480"/>
      <c r="E122" s="36"/>
      <c r="F122" s="36"/>
      <c r="G122" s="36"/>
    </row>
    <row r="123" spans="1:8" x14ac:dyDescent="0.2">
      <c r="D123" s="480"/>
    </row>
    <row r="124" spans="1:8" x14ac:dyDescent="0.2">
      <c r="D124" s="36"/>
    </row>
  </sheetData>
  <sheetProtection password="F58B" sheet="1" objects="1" scenarios="1" formatCells="0" selectLockedCells="1"/>
  <phoneticPr fontId="3" type="noConversion"/>
  <conditionalFormatting sqref="A72">
    <cfRule type="cellIs" dxfId="270" priority="25" stopIfTrue="1" operator="notEqual">
      <formula>$B$72</formula>
    </cfRule>
  </conditionalFormatting>
  <conditionalFormatting sqref="A45">
    <cfRule type="cellIs" dxfId="269" priority="18" stopIfTrue="1" operator="notEqual">
      <formula>$B$45</formula>
    </cfRule>
  </conditionalFormatting>
  <conditionalFormatting sqref="A6">
    <cfRule type="cellIs" dxfId="268" priority="19" stopIfTrue="1" operator="notEqual">
      <formula>$B$6</formula>
    </cfRule>
  </conditionalFormatting>
  <conditionalFormatting sqref="A11">
    <cfRule type="cellIs" dxfId="267" priority="20" stopIfTrue="1" operator="notEqual">
      <formula>$B$11</formula>
    </cfRule>
  </conditionalFormatting>
  <conditionalFormatting sqref="A16">
    <cfRule type="cellIs" dxfId="266" priority="21" stopIfTrue="1" operator="notEqual">
      <formula>$B$16</formula>
    </cfRule>
  </conditionalFormatting>
  <conditionalFormatting sqref="A21">
    <cfRule type="cellIs" dxfId="265" priority="22" stopIfTrue="1" operator="notEqual">
      <formula>$B$21</formula>
    </cfRule>
  </conditionalFormatting>
  <conditionalFormatting sqref="A26">
    <cfRule type="cellIs" dxfId="264" priority="23" stopIfTrue="1" operator="notEqual">
      <formula>$B$26</formula>
    </cfRule>
  </conditionalFormatting>
  <conditionalFormatting sqref="A31">
    <cfRule type="cellIs" dxfId="263" priority="24" stopIfTrue="1" operator="notEqual">
      <formula>$B$31</formula>
    </cfRule>
  </conditionalFormatting>
  <conditionalFormatting sqref="A65">
    <cfRule type="cellIs" dxfId="262" priority="35" stopIfTrue="1" operator="notEqual">
      <formula>$B$65</formula>
    </cfRule>
  </conditionalFormatting>
  <conditionalFormatting sqref="A60">
    <cfRule type="cellIs" dxfId="261" priority="36" stopIfTrue="1" operator="notEqual">
      <formula>$B$60</formula>
    </cfRule>
  </conditionalFormatting>
  <conditionalFormatting sqref="A55">
    <cfRule type="cellIs" dxfId="260" priority="37" stopIfTrue="1" operator="notEqual">
      <formula>$B$55</formula>
    </cfRule>
  </conditionalFormatting>
  <conditionalFormatting sqref="A77">
    <cfRule type="cellIs" dxfId="259" priority="15" stopIfTrue="1" operator="notEqual">
      <formula>$B$77</formula>
    </cfRule>
  </conditionalFormatting>
  <conditionalFormatting sqref="A82">
    <cfRule type="cellIs" dxfId="258" priority="14" stopIfTrue="1" operator="notEqual">
      <formula>$B$82</formula>
    </cfRule>
  </conditionalFormatting>
  <conditionalFormatting sqref="A40">
    <cfRule type="cellIs" dxfId="257" priority="60" stopIfTrue="1" operator="notEqual">
      <formula>$B$40</formula>
    </cfRule>
  </conditionalFormatting>
  <conditionalFormatting sqref="A50">
    <cfRule type="cellIs" dxfId="256" priority="80" stopIfTrue="1" operator="notEqual">
      <formula>$B$50</formula>
    </cfRule>
  </conditionalFormatting>
  <conditionalFormatting sqref="A89">
    <cfRule type="cellIs" dxfId="255" priority="8" stopIfTrue="1" operator="notEqual">
      <formula>$B89</formula>
    </cfRule>
  </conditionalFormatting>
  <conditionalFormatting sqref="A94">
    <cfRule type="cellIs" dxfId="254" priority="4" stopIfTrue="1" operator="notEqual">
      <formula>$B94</formula>
    </cfRule>
  </conditionalFormatting>
  <conditionalFormatting sqref="A99">
    <cfRule type="cellIs" dxfId="253" priority="3" stopIfTrue="1" operator="notEqual">
      <formula>$B99</formula>
    </cfRule>
  </conditionalFormatting>
  <conditionalFormatting sqref="A109">
    <cfRule type="cellIs" dxfId="252" priority="2" stopIfTrue="1" operator="notEqual">
      <formula>$B109</formula>
    </cfRule>
  </conditionalFormatting>
  <conditionalFormatting sqref="A104">
    <cfRule type="cellIs" dxfId="251" priority="1" stopIfTrue="1" operator="notEqual">
      <formula>$B104</formula>
    </cfRule>
  </conditionalFormatting>
  <dataValidations count="2">
    <dataValidation type="textLength" allowBlank="1" showInputMessage="1" showErrorMessage="1" sqref="A67:A68 A71 A74:A76 A57:A58 A62:A63 A52:A53 A84:A85 A42:A43 A47:A48 A28:A29 A79:A81 A88 A8:A9 A13:A14 A18:A19 A23:A24 A91:A92 A96:A97 A101:A102 A106:A107 A111:A112">
      <formula1>1</formula1>
      <formula2>1000</formula2>
    </dataValidation>
    <dataValidation type="textLength" allowBlank="1" showInputMessage="1" showErrorMessage="1" sqref="A34 A38">
      <formula1>0</formula1>
      <formula2>1000</formula2>
    </dataValidation>
  </dataValidations>
  <pageMargins left="0.98425196850393704" right="0.19685039370078741" top="0.39370078740157483" bottom="0.31496062992125984" header="0.19685039370078741" footer="0.11811023622047245"/>
  <pageSetup scale="96" orientation="landscape"/>
  <headerFooter>
    <oddFooter xml:space="preserve">&amp;C&amp;"Arial,Italic"&amp;8&amp;A&amp;R&amp;"Arial,Italic"&amp;8Page &amp;P of &amp;N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topLeftCell="A16" zoomScale="80" zoomScaleNormal="80" workbookViewId="0">
      <selection activeCell="H17" sqref="H17"/>
    </sheetView>
  </sheetViews>
  <sheetFormatPr defaultColWidth="9.140625" defaultRowHeight="12" x14ac:dyDescent="0.2"/>
  <cols>
    <col min="1" max="1" width="3.7109375" style="160" customWidth="1"/>
    <col min="2" max="2" width="23.28515625" style="162" customWidth="1"/>
    <col min="3" max="3" width="55.7109375" style="162" customWidth="1"/>
    <col min="4" max="5" width="22.7109375" style="162" customWidth="1"/>
    <col min="6" max="6" width="16.28515625" style="162" customWidth="1"/>
    <col min="7" max="7" width="12.42578125" style="162" customWidth="1"/>
    <col min="8" max="8" width="14.28515625" style="162" customWidth="1"/>
    <col min="9" max="16384" width="9.140625" style="160"/>
  </cols>
  <sheetData>
    <row r="1" spans="1:8" ht="21" customHeight="1" thickBot="1" x14ac:dyDescent="0.25">
      <c r="A1" s="365" t="s">
        <v>322</v>
      </c>
      <c r="B1" s="366"/>
      <c r="C1" s="366"/>
      <c r="D1" s="366"/>
      <c r="E1" s="366"/>
      <c r="F1" s="366"/>
      <c r="G1" s="366"/>
      <c r="H1" s="366"/>
    </row>
    <row r="2" spans="1:8" ht="3.75" customHeight="1" x14ac:dyDescent="0.2">
      <c r="A2" s="367"/>
      <c r="B2" s="383"/>
      <c r="C2" s="383"/>
      <c r="D2" s="383"/>
      <c r="E2" s="164"/>
      <c r="F2" s="164"/>
      <c r="G2" s="164"/>
      <c r="H2" s="164"/>
    </row>
    <row r="3" spans="1:8" ht="11.25" customHeight="1" x14ac:dyDescent="0.2">
      <c r="A3" s="164"/>
      <c r="B3" s="385" t="str">
        <f>CONCATENATE(T('1. General Data'!S12),"          Component:")</f>
        <v xml:space="preserve">          Component:</v>
      </c>
      <c r="C3" s="712" t="str">
        <f>T('1. General Data'!E25)</f>
        <v>2.1.1. Bicycle paths</v>
      </c>
      <c r="D3" s="713"/>
      <c r="E3" s="713"/>
      <c r="F3" s="713"/>
      <c r="G3" s="714"/>
      <c r="H3" s="164"/>
    </row>
    <row r="4" spans="1:8" ht="3.75" customHeight="1" x14ac:dyDescent="0.2">
      <c r="A4" s="164"/>
      <c r="B4" s="383"/>
      <c r="C4" s="383"/>
      <c r="D4" s="383"/>
      <c r="E4" s="164"/>
      <c r="F4" s="164"/>
      <c r="G4" s="164"/>
      <c r="H4" s="164"/>
    </row>
    <row r="5" spans="1:8" ht="12" customHeight="1" x14ac:dyDescent="0.2">
      <c r="A5" s="164"/>
      <c r="B5" s="101" t="s">
        <v>139</v>
      </c>
      <c r="C5" s="712" t="str">
        <f>T('1. General Data'!C14)</f>
        <v>Happy Bike</v>
      </c>
      <c r="D5" s="713"/>
      <c r="E5" s="713"/>
      <c r="F5" s="713"/>
      <c r="G5" s="714"/>
      <c r="H5" s="468"/>
    </row>
    <row r="6" spans="1:8" ht="3.75" customHeight="1" x14ac:dyDescent="0.2">
      <c r="A6" s="164"/>
      <c r="B6" s="44"/>
      <c r="C6" s="44"/>
      <c r="D6" s="44"/>
      <c r="E6" s="44"/>
      <c r="F6" s="44"/>
      <c r="G6" s="44"/>
      <c r="H6" s="44"/>
    </row>
    <row r="7" spans="1:8" ht="12" customHeight="1" x14ac:dyDescent="0.2">
      <c r="A7" s="164"/>
      <c r="B7" s="101" t="s">
        <v>138</v>
      </c>
      <c r="C7" s="712" t="str">
        <f>T(LEFT('2. LB data'!C5,80))</f>
        <v>Letenye Város Önkormányzata</v>
      </c>
      <c r="D7" s="713"/>
      <c r="E7" s="713"/>
      <c r="F7" s="713"/>
      <c r="G7" s="714"/>
      <c r="H7" s="468"/>
    </row>
    <row r="8" spans="1:8" ht="3.75" customHeight="1" x14ac:dyDescent="0.2">
      <c r="A8" s="164"/>
      <c r="B8" s="44"/>
      <c r="C8" s="44"/>
      <c r="D8" s="44"/>
      <c r="E8" s="44"/>
      <c r="F8" s="44"/>
      <c r="G8" s="44"/>
      <c r="H8" s="44"/>
    </row>
    <row r="9" spans="1:8" ht="63.75" customHeight="1" x14ac:dyDescent="0.2">
      <c r="A9" s="470" t="s">
        <v>57</v>
      </c>
      <c r="B9" s="466" t="s">
        <v>569</v>
      </c>
      <c r="C9" s="466" t="s">
        <v>570</v>
      </c>
      <c r="D9" s="466" t="s">
        <v>657</v>
      </c>
      <c r="E9" s="466" t="s">
        <v>571</v>
      </c>
      <c r="F9" s="466" t="s">
        <v>573</v>
      </c>
      <c r="G9" s="467" t="s">
        <v>572</v>
      </c>
      <c r="H9" s="466" t="s">
        <v>574</v>
      </c>
    </row>
    <row r="10" spans="1:8" ht="72" x14ac:dyDescent="0.2">
      <c r="A10" s="469" t="s">
        <v>50</v>
      </c>
      <c r="B10" s="291" t="s">
        <v>200</v>
      </c>
      <c r="C10" s="159" t="s">
        <v>707</v>
      </c>
      <c r="D10" s="159" t="s">
        <v>708</v>
      </c>
      <c r="E10" s="159" t="s">
        <v>709</v>
      </c>
      <c r="F10" s="159" t="s">
        <v>882</v>
      </c>
      <c r="G10" s="292">
        <f>'8. B7 budget'!L262+'8. B6 budget'!L262+'8. B5 budget'!L262+'8. B4 budget'!L262+'8. B3 budget'!L262+'8. B2 budget'!L262+'8. B1 budget'!L262+'8 LB budget'!L262</f>
        <v>63518</v>
      </c>
      <c r="H10" s="158" t="s">
        <v>710</v>
      </c>
    </row>
    <row r="11" spans="1:8" ht="96" x14ac:dyDescent="0.2">
      <c r="A11" s="161" t="s">
        <v>51</v>
      </c>
      <c r="B11" s="291" t="s">
        <v>233</v>
      </c>
      <c r="C11" s="553" t="s">
        <v>1087</v>
      </c>
      <c r="D11" s="159" t="s">
        <v>708</v>
      </c>
      <c r="E11" s="159" t="s">
        <v>711</v>
      </c>
      <c r="F11" s="159" t="s">
        <v>882</v>
      </c>
      <c r="G11" s="292">
        <f>'8. B7 budget'!L263+'8. B6 budget'!L263+'8. B5 budget'!L263+'8. B4 budget'!L263+'8. B3 budget'!L263+'8. B2 budget'!L263+'8. B1 budget'!L263+'8 LB budget'!L263</f>
        <v>87787</v>
      </c>
      <c r="H11" s="555" t="s">
        <v>1103</v>
      </c>
    </row>
    <row r="12" spans="1:8" ht="60" x14ac:dyDescent="0.2">
      <c r="A12" s="161" t="s">
        <v>52</v>
      </c>
      <c r="B12" s="158" t="s">
        <v>757</v>
      </c>
      <c r="C12" s="159" t="s">
        <v>1073</v>
      </c>
      <c r="D12" s="159" t="s">
        <v>884</v>
      </c>
      <c r="E12" s="159" t="s">
        <v>712</v>
      </c>
      <c r="F12" s="159" t="s">
        <v>1088</v>
      </c>
      <c r="G12" s="292">
        <f>'8. B7 budget'!L264+'8. B6 budget'!L264+'8. B5 budget'!L264+'8. B4 budget'!L264+'8. B3 budget'!L264+'8. B2 budget'!L264+'8. B1 budget'!L264+'8 LB budget'!L264</f>
        <v>4200</v>
      </c>
      <c r="H12" s="545" t="s">
        <v>710</v>
      </c>
    </row>
    <row r="13" spans="1:8" ht="72" x14ac:dyDescent="0.2">
      <c r="A13" s="161" t="s">
        <v>53</v>
      </c>
      <c r="B13" s="158" t="s">
        <v>758</v>
      </c>
      <c r="C13" s="159" t="s">
        <v>883</v>
      </c>
      <c r="D13" s="159" t="s">
        <v>708</v>
      </c>
      <c r="E13" s="159" t="s">
        <v>713</v>
      </c>
      <c r="F13" s="159" t="s">
        <v>882</v>
      </c>
      <c r="G13" s="292">
        <f>'8. B7 budget'!L265+'8. B6 budget'!L265+'8. B5 budget'!L265+'8. B4 budget'!L265+'8. B3 budget'!L265+'8. B2 budget'!L265+'8. B1 budget'!L265+'8 LB budget'!L265</f>
        <v>0</v>
      </c>
      <c r="H13" s="158" t="s">
        <v>710</v>
      </c>
    </row>
    <row r="14" spans="1:8" ht="60" x14ac:dyDescent="0.2">
      <c r="A14" s="161" t="s">
        <v>54</v>
      </c>
      <c r="B14" s="158" t="s">
        <v>908</v>
      </c>
      <c r="C14" s="159" t="s">
        <v>909</v>
      </c>
      <c r="D14" s="159" t="s">
        <v>708</v>
      </c>
      <c r="E14" s="159" t="s">
        <v>714</v>
      </c>
      <c r="F14" s="159" t="s">
        <v>550</v>
      </c>
      <c r="G14" s="292">
        <f>'8. B7 budget'!L266+'8. B6 budget'!L266+'8. B5 budget'!L266+'8. B4 budget'!L266+'8. B3 budget'!L266+'8. B2 budget'!L266+'8. B1 budget'!L266+'8 LB budget'!L266</f>
        <v>22500</v>
      </c>
      <c r="H14" s="158" t="s">
        <v>715</v>
      </c>
    </row>
    <row r="15" spans="1:8" ht="84" x14ac:dyDescent="0.2">
      <c r="A15" s="161" t="s">
        <v>55</v>
      </c>
      <c r="B15" s="158" t="s">
        <v>759</v>
      </c>
      <c r="C15" s="553" t="s">
        <v>885</v>
      </c>
      <c r="D15" s="159" t="s">
        <v>718</v>
      </c>
      <c r="E15" s="159" t="s">
        <v>716</v>
      </c>
      <c r="F15" s="159" t="s">
        <v>1088</v>
      </c>
      <c r="G15" s="292">
        <f>'8. B7 budget'!L267+'8. B6 budget'!L267+'8. B5 budget'!L267+'8. B4 budget'!L267+'8. B3 budget'!L267+'8. B2 budget'!L267+'8. B1 budget'!L267+'8 LB budget'!L267</f>
        <v>59700</v>
      </c>
      <c r="H15" s="554" t="s">
        <v>1104</v>
      </c>
    </row>
    <row r="16" spans="1:8" ht="84" x14ac:dyDescent="0.2">
      <c r="A16" s="161" t="s">
        <v>56</v>
      </c>
      <c r="B16" s="158" t="s">
        <v>760</v>
      </c>
      <c r="C16" s="159" t="s">
        <v>1075</v>
      </c>
      <c r="D16" s="159" t="s">
        <v>717</v>
      </c>
      <c r="E16" s="159" t="s">
        <v>719</v>
      </c>
      <c r="F16" s="159" t="s">
        <v>550</v>
      </c>
      <c r="G16" s="292">
        <f>'8. B7 budget'!L268+'8. B6 budget'!L268+'8. B5 budget'!L268+'8. B4 budget'!L268+'8. B3 budget'!L268+'8. B2 budget'!L268+'8. B1 budget'!L268+'8 LB budget'!L268</f>
        <v>15000</v>
      </c>
      <c r="H16" s="542" t="s">
        <v>1079</v>
      </c>
    </row>
    <row r="17" spans="1:8" ht="72" x14ac:dyDescent="0.2">
      <c r="A17" s="161" t="s">
        <v>564</v>
      </c>
      <c r="B17" s="158" t="s">
        <v>761</v>
      </c>
      <c r="C17" s="548" t="s">
        <v>1089</v>
      </c>
      <c r="D17" s="159" t="s">
        <v>708</v>
      </c>
      <c r="E17" s="159" t="s">
        <v>720</v>
      </c>
      <c r="F17" s="159" t="s">
        <v>1088</v>
      </c>
      <c r="G17" s="292">
        <f>'8. B7 budget'!L269+'8. B6 budget'!L269+'8. B5 budget'!L269+'8. B4 budget'!L269+'8. B3 budget'!L269+'8. B2 budget'!L269+'8. B1 budget'!L269+'8 LB budget'!L269</f>
        <v>10600</v>
      </c>
      <c r="H17" s="549" t="s">
        <v>1091</v>
      </c>
    </row>
    <row r="18" spans="1:8" ht="84" x14ac:dyDescent="0.2">
      <c r="A18" s="161" t="s">
        <v>214</v>
      </c>
      <c r="B18" s="158" t="s">
        <v>762</v>
      </c>
      <c r="C18" s="159" t="s">
        <v>1074</v>
      </c>
      <c r="D18" s="159" t="s">
        <v>763</v>
      </c>
      <c r="E18" s="159" t="s">
        <v>721</v>
      </c>
      <c r="F18" s="159" t="s">
        <v>552</v>
      </c>
      <c r="G18" s="292">
        <f>'8. B7 budget'!L270+'8. B6 budget'!L270+'8. B5 budget'!L270+'8. B4 budget'!L270+'8. B3 budget'!L270+'8. B2 budget'!L270+'8. B1 budget'!L270+'8 LB budget'!L270</f>
        <v>174550</v>
      </c>
      <c r="H18" s="542" t="s">
        <v>1077</v>
      </c>
    </row>
    <row r="19" spans="1:8" ht="72" x14ac:dyDescent="0.2">
      <c r="A19" s="161" t="s">
        <v>215</v>
      </c>
      <c r="B19" s="158" t="s">
        <v>886</v>
      </c>
      <c r="C19" s="553" t="s">
        <v>891</v>
      </c>
      <c r="D19" s="553" t="s">
        <v>1101</v>
      </c>
      <c r="E19" s="159" t="s">
        <v>721</v>
      </c>
      <c r="F19" s="553" t="s">
        <v>551</v>
      </c>
      <c r="G19" s="292">
        <f>'8. B7 budget'!L271+'8. B6 budget'!L271+'8. B5 budget'!L271+'8. B4 budget'!L271+'8. B3 budget'!L271+'8. B2 budget'!L271+'8. B1 budget'!L271+'8 LB budget'!L271</f>
        <v>21500</v>
      </c>
      <c r="H19" s="554" t="s">
        <v>1078</v>
      </c>
    </row>
    <row r="20" spans="1:8" ht="72" x14ac:dyDescent="0.2">
      <c r="A20" s="161" t="s">
        <v>216</v>
      </c>
      <c r="B20" s="158" t="s">
        <v>887</v>
      </c>
      <c r="C20" s="159" t="s">
        <v>892</v>
      </c>
      <c r="D20" s="159" t="s">
        <v>665</v>
      </c>
      <c r="E20" s="159" t="s">
        <v>722</v>
      </c>
      <c r="F20" s="159" t="s">
        <v>549</v>
      </c>
      <c r="G20" s="292">
        <f>'8. B7 budget'!L272+'8. B6 budget'!L272+'8. B5 budget'!L272+'8. B4 budget'!L272+'8. B3 budget'!L272+'8. B2 budget'!L272+'8. B1 budget'!L272+'8 LB budget'!L272</f>
        <v>314530.5</v>
      </c>
      <c r="H20" s="542" t="s">
        <v>1077</v>
      </c>
    </row>
    <row r="21" spans="1:8" ht="84" x14ac:dyDescent="0.2">
      <c r="A21" s="161" t="s">
        <v>217</v>
      </c>
      <c r="B21" s="158" t="s">
        <v>888</v>
      </c>
      <c r="C21" s="159" t="s">
        <v>893</v>
      </c>
      <c r="D21" s="159" t="s">
        <v>699</v>
      </c>
      <c r="E21" s="159" t="s">
        <v>721</v>
      </c>
      <c r="F21" s="159" t="s">
        <v>550</v>
      </c>
      <c r="G21" s="292">
        <f>'8. B7 budget'!L273+'8. B6 budget'!L273+'8. B5 budget'!L273+'8. B4 budget'!L273+'8. B3 budget'!L273+'8. B2 budget'!L273+'8. B1 budget'!L273+'8 LB budget'!L273</f>
        <v>23900</v>
      </c>
      <c r="H21" s="545" t="s">
        <v>1077</v>
      </c>
    </row>
    <row r="22" spans="1:8" ht="60" x14ac:dyDescent="0.2">
      <c r="A22" s="161" t="s">
        <v>218</v>
      </c>
      <c r="B22" s="158" t="s">
        <v>889</v>
      </c>
      <c r="C22" s="548" t="s">
        <v>1092</v>
      </c>
      <c r="D22" s="159" t="s">
        <v>699</v>
      </c>
      <c r="E22" s="159" t="s">
        <v>722</v>
      </c>
      <c r="F22" s="159" t="s">
        <v>550</v>
      </c>
      <c r="G22" s="292">
        <f>'8. B7 budget'!L274+'8. B6 budget'!L274+'8. B5 budget'!L274+'8. B4 budget'!L274+'8. B3 budget'!L274+'8. B2 budget'!L274+'8. B1 budget'!L274+'8 LB budget'!L274</f>
        <v>99300</v>
      </c>
      <c r="H22" s="548" t="s">
        <v>1093</v>
      </c>
    </row>
    <row r="23" spans="1:8" ht="72" x14ac:dyDescent="0.2">
      <c r="A23" s="161" t="s">
        <v>219</v>
      </c>
      <c r="B23" s="158" t="s">
        <v>890</v>
      </c>
      <c r="C23" s="553" t="s">
        <v>1076</v>
      </c>
      <c r="D23" s="159" t="s">
        <v>718</v>
      </c>
      <c r="E23" s="159" t="s">
        <v>722</v>
      </c>
      <c r="F23" s="159" t="s">
        <v>1088</v>
      </c>
      <c r="G23" s="292">
        <f>'8. B7 budget'!L275+'8. B6 budget'!L275+'8. B5 budget'!L275+'8. B4 budget'!L275+'8. B3 budget'!L275+'8. B2 budget'!L275+'8. B1 budget'!L275+'8 LB budget'!L275</f>
        <v>107570</v>
      </c>
      <c r="H23" s="555" t="s">
        <v>1105</v>
      </c>
    </row>
    <row r="24" spans="1:8" x14ac:dyDescent="0.2">
      <c r="A24" s="161" t="s">
        <v>220</v>
      </c>
      <c r="B24" s="158"/>
      <c r="C24" s="159"/>
      <c r="D24" s="159"/>
      <c r="E24" s="159"/>
      <c r="F24" s="159"/>
      <c r="G24" s="292">
        <f>'8. B7 budget'!L276+'8. B6 budget'!L276+'8. B5 budget'!L276+'8. B4 budget'!L276+'8. B3 budget'!L276+'8. B2 budget'!L276+'8. B1 budget'!L276+'8 LB budget'!L276</f>
        <v>0</v>
      </c>
      <c r="H24" s="158"/>
    </row>
    <row r="25" spans="1:8" x14ac:dyDescent="0.2">
      <c r="A25" s="161" t="s">
        <v>221</v>
      </c>
      <c r="B25" s="158"/>
      <c r="C25" s="548" t="s">
        <v>1090</v>
      </c>
      <c r="D25" s="159"/>
      <c r="E25" s="159"/>
      <c r="F25" s="159"/>
      <c r="G25" s="292">
        <f>'8. B7 budget'!L277+'8. B6 budget'!L277+'8. B5 budget'!L277+'8. B4 budget'!L277+'8. B3 budget'!L277+'8. B2 budget'!L277+'8. B1 budget'!L277+'8 LB budget'!L277</f>
        <v>0</v>
      </c>
      <c r="H25" s="158"/>
    </row>
    <row r="26" spans="1:8" x14ac:dyDescent="0.2">
      <c r="A26" s="161" t="s">
        <v>565</v>
      </c>
      <c r="B26" s="158"/>
      <c r="C26" s="553" t="s">
        <v>1102</v>
      </c>
      <c r="D26" s="159"/>
      <c r="E26" s="159"/>
      <c r="F26" s="159"/>
      <c r="G26" s="292">
        <f>'8. B7 budget'!L278+'8. B6 budget'!L278+'8. B5 budget'!L278+'8. B4 budget'!L278+'8. B3 budget'!L278+'8. B2 budget'!L278+'8. B1 budget'!L278+'8 LB budget'!L278</f>
        <v>0</v>
      </c>
      <c r="H26" s="158"/>
    </row>
    <row r="27" spans="1:8" x14ac:dyDescent="0.2">
      <c r="A27" s="161" t="s">
        <v>566</v>
      </c>
      <c r="B27" s="158"/>
      <c r="C27" s="159"/>
      <c r="D27" s="159"/>
      <c r="E27" s="159"/>
      <c r="F27" s="159"/>
      <c r="G27" s="292">
        <f>'8. B7 budget'!L279+'8. B6 budget'!L279+'8. B5 budget'!L279+'8. B4 budget'!L279+'8. B3 budget'!L279+'8. B2 budget'!L279+'8. B1 budget'!L279+'8 LB budget'!L279</f>
        <v>0</v>
      </c>
      <c r="H27" s="158"/>
    </row>
    <row r="28" spans="1:8" x14ac:dyDescent="0.2">
      <c r="A28" s="161" t="s">
        <v>567</v>
      </c>
      <c r="B28" s="158"/>
      <c r="C28" s="159"/>
      <c r="D28" s="159"/>
      <c r="E28" s="159"/>
      <c r="F28" s="159"/>
      <c r="G28" s="292">
        <f>'8. B7 budget'!L280+'8. B6 budget'!L280+'8. B5 budget'!L280+'8. B4 budget'!L280+'8. B3 budget'!L280+'8. B2 budget'!L280+'8. B1 budget'!L280+'8 LB budget'!L280</f>
        <v>0</v>
      </c>
      <c r="H28" s="158"/>
    </row>
    <row r="29" spans="1:8" x14ac:dyDescent="0.2">
      <c r="A29" s="161" t="s">
        <v>568</v>
      </c>
      <c r="B29" s="158"/>
      <c r="C29" s="159"/>
      <c r="D29" s="159"/>
      <c r="E29" s="159"/>
      <c r="F29" s="159"/>
      <c r="G29" s="292">
        <f>'8. B7 budget'!L281+'8. B6 budget'!L281+'8. B5 budget'!L281+'8. B4 budget'!L281+'8. B3 budget'!L281+'8. B2 budget'!L281+'8. B1 budget'!L281+'8 LB budget'!L281</f>
        <v>0</v>
      </c>
      <c r="H29" s="158"/>
    </row>
    <row r="30" spans="1:8" x14ac:dyDescent="0.2">
      <c r="A30" s="161" t="s">
        <v>575</v>
      </c>
      <c r="B30" s="158"/>
      <c r="C30" s="159"/>
      <c r="D30" s="159"/>
      <c r="E30" s="159"/>
      <c r="F30" s="159"/>
      <c r="G30" s="292">
        <f>'8. B7 budget'!L282+'8. B6 budget'!L282+'8. B5 budget'!L282+'8. B4 budget'!L282+'8. B3 budget'!L282+'8. B2 budget'!L282+'8. B1 budget'!L282+'8 LB budget'!L282</f>
        <v>0</v>
      </c>
      <c r="H30" s="158"/>
    </row>
    <row r="31" spans="1:8" x14ac:dyDescent="0.2">
      <c r="A31" s="161" t="s">
        <v>576</v>
      </c>
      <c r="B31" s="158"/>
      <c r="C31" s="159"/>
      <c r="D31" s="159"/>
      <c r="E31" s="159"/>
      <c r="F31" s="159"/>
      <c r="G31" s="292">
        <f>'8. B7 budget'!L283+'8. B6 budget'!L283+'8. B5 budget'!L283+'8. B4 budget'!L283+'8. B3 budget'!L283+'8. B2 budget'!L283+'8. B1 budget'!L283+'8 LB budget'!L283</f>
        <v>0</v>
      </c>
      <c r="H31" s="158"/>
    </row>
    <row r="32" spans="1:8" x14ac:dyDescent="0.2">
      <c r="A32" s="161" t="s">
        <v>577</v>
      </c>
      <c r="B32" s="158"/>
      <c r="C32" s="159"/>
      <c r="D32" s="159"/>
      <c r="E32" s="159"/>
      <c r="F32" s="159"/>
      <c r="G32" s="292">
        <f>'8. B7 budget'!L284+'8. B6 budget'!L284+'8. B5 budget'!L284+'8. B4 budget'!L284+'8. B3 budget'!L284+'8. B2 budget'!L284+'8. B1 budget'!L284+'8 LB budget'!L284</f>
        <v>0</v>
      </c>
      <c r="H32" s="158"/>
    </row>
    <row r="33" spans="1:8" x14ac:dyDescent="0.2">
      <c r="A33" s="161" t="s">
        <v>578</v>
      </c>
      <c r="B33" s="158"/>
      <c r="C33" s="159"/>
      <c r="D33" s="159"/>
      <c r="E33" s="159"/>
      <c r="F33" s="159"/>
      <c r="G33" s="292">
        <f>'8. B7 budget'!L285+'8. B6 budget'!L285+'8. B5 budget'!L285+'8. B4 budget'!L285+'8. B3 budget'!L285+'8. B2 budget'!L285+'8. B1 budget'!L285+'8 LB budget'!L285</f>
        <v>0</v>
      </c>
      <c r="H33" s="158"/>
    </row>
  </sheetData>
  <sheetProtection password="F58B" sheet="1" objects="1" scenarios="1" formatCells="0" selectLockedCells="1"/>
  <mergeCells count="3">
    <mergeCell ref="C5:G5"/>
    <mergeCell ref="C7:G7"/>
    <mergeCell ref="C3:G3"/>
  </mergeCells>
  <phoneticPr fontId="3" type="noConversion"/>
  <dataValidations count="4">
    <dataValidation type="textLength" operator="lessThanOrEqual" allowBlank="1" showInputMessage="1" showErrorMessage="1" sqref="C10:C33">
      <formula1>500</formula1>
    </dataValidation>
    <dataValidation type="textLength" allowBlank="1" showInputMessage="1" showErrorMessage="1" sqref="H10:H33">
      <formula1>0</formula1>
      <formula2>50</formula2>
    </dataValidation>
    <dataValidation type="textLength" operator="lessThan" allowBlank="1" showInputMessage="1" showErrorMessage="1" sqref="B10:B33">
      <formula1>130</formula1>
    </dataValidation>
    <dataValidation type="textLength" operator="lessThanOrEqual" allowBlank="1" showInputMessage="1" showErrorMessage="1" sqref="D10:F33">
      <formula1>130</formula1>
    </dataValidation>
  </dataValidations>
  <pageMargins left="0.19685039370078741" right="0.15748031496062992" top="0.78740157480314965" bottom="0.47244094488188981" header="0" footer="0.31496062992125984"/>
  <pageSetup scale="73" fitToHeight="4" orientation="landscape" r:id="rId1"/>
  <headerFooter>
    <oddFooter xml:space="preserve">&amp;C&amp;"Arial,Italic"&amp;8&amp;A&amp;R&amp;"Arial,Italic"&amp;8Page &amp;P of &amp;N </oddFooter>
  </headerFooter>
  <colBreaks count="1" manualBreakCount="1">
    <brk id="8" max="20"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42"/>
  <sheetViews>
    <sheetView workbookViewId="0">
      <selection activeCell="G47" sqref="G47"/>
    </sheetView>
  </sheetViews>
  <sheetFormatPr defaultColWidth="9.140625" defaultRowHeight="12.75" x14ac:dyDescent="0.2"/>
  <cols>
    <col min="1" max="1" width="9.140625" style="179" customWidth="1"/>
    <col min="2" max="2" width="8.85546875" style="179" customWidth="1"/>
    <col min="3" max="3" width="59.28515625" style="179" customWidth="1"/>
    <col min="4" max="4" width="7.7109375" style="179" customWidth="1"/>
    <col min="5" max="5" width="9.85546875" style="179" customWidth="1"/>
    <col min="6" max="6" width="11.42578125" style="179" customWidth="1"/>
    <col min="7" max="7" width="32.28515625" style="179" customWidth="1"/>
    <col min="8" max="8" width="12.42578125" style="179" hidden="1" customWidth="1"/>
    <col min="9" max="9" width="10.28515625" style="179" hidden="1" customWidth="1"/>
    <col min="10" max="10" width="19.28515625" style="179" hidden="1" customWidth="1"/>
    <col min="11" max="11" width="10.28515625" style="179" hidden="1" customWidth="1"/>
    <col min="12" max="13" width="9.140625" style="179" hidden="1" customWidth="1"/>
    <col min="14" max="32" width="9.140625" style="179" customWidth="1"/>
    <col min="33" max="16384" width="9.140625" style="179"/>
  </cols>
  <sheetData>
    <row r="1" spans="1:33" ht="15.75" x14ac:dyDescent="0.25">
      <c r="A1" s="731" t="s">
        <v>323</v>
      </c>
      <c r="B1" s="668"/>
      <c r="C1" s="668"/>
      <c r="D1" s="668"/>
      <c r="E1" s="668"/>
      <c r="F1" s="668"/>
      <c r="G1" s="668"/>
      <c r="H1" s="316"/>
    </row>
    <row r="3" spans="1:33" x14ac:dyDescent="0.2">
      <c r="A3" s="733" t="str">
        <f>'1. General Data'!R12</f>
        <v>HUHR/1601/</v>
      </c>
      <c r="B3" s="668"/>
      <c r="C3" s="718" t="str">
        <f>T('1. General Data'!E25:O25)</f>
        <v>2.1.1. Bicycle paths</v>
      </c>
      <c r="D3" s="734"/>
      <c r="E3" s="734"/>
      <c r="F3" s="734"/>
      <c r="G3" s="735"/>
      <c r="H3" s="204"/>
    </row>
    <row r="4" spans="1:33" x14ac:dyDescent="0.2">
      <c r="A4" s="44"/>
    </row>
    <row r="5" spans="1:33" x14ac:dyDescent="0.2">
      <c r="A5" s="724" t="s">
        <v>139</v>
      </c>
      <c r="B5" s="668"/>
      <c r="C5" s="205" t="str">
        <f>T('1. General Data'!C14:M14)</f>
        <v>Happy Bike</v>
      </c>
      <c r="D5" s="736" t="s">
        <v>184</v>
      </c>
      <c r="E5" s="737"/>
      <c r="F5" s="718" t="str">
        <f>T('2. LB data'!C9:F9)</f>
        <v>Letenye</v>
      </c>
      <c r="G5" s="719"/>
      <c r="H5" s="324"/>
    </row>
    <row r="6" spans="1:33" ht="8.25" customHeight="1" x14ac:dyDescent="0.2"/>
    <row r="7" spans="1:33" ht="12.75" customHeight="1" x14ac:dyDescent="0.2">
      <c r="A7" s="368"/>
      <c r="B7" s="376"/>
      <c r="C7" s="376"/>
      <c r="D7" s="376"/>
      <c r="E7" s="376"/>
      <c r="F7" s="376"/>
      <c r="G7" s="376"/>
      <c r="H7" s="375"/>
    </row>
    <row r="8" spans="1:33" ht="48.75" customHeight="1" x14ac:dyDescent="0.2">
      <c r="A8" s="725" t="s">
        <v>361</v>
      </c>
      <c r="B8" s="732"/>
      <c r="C8" s="732"/>
      <c r="D8" s="732"/>
      <c r="E8" s="732"/>
      <c r="F8" s="732"/>
      <c r="G8" s="732"/>
      <c r="H8" s="375"/>
    </row>
    <row r="9" spans="1:33" ht="38.25" x14ac:dyDescent="0.2">
      <c r="A9" s="180" t="s">
        <v>414</v>
      </c>
      <c r="B9" s="180" t="s">
        <v>58</v>
      </c>
      <c r="C9" s="180" t="s">
        <v>405</v>
      </c>
      <c r="D9" s="180" t="s">
        <v>41</v>
      </c>
      <c r="E9" s="180" t="s">
        <v>187</v>
      </c>
      <c r="F9" s="180" t="s">
        <v>188</v>
      </c>
      <c r="G9" s="180" t="s">
        <v>650</v>
      </c>
      <c r="H9" s="375"/>
    </row>
    <row r="10" spans="1:33" ht="38.25" x14ac:dyDescent="0.2">
      <c r="A10" s="181" t="str">
        <f>IF(ISERROR(INDEX(A$139:A$242,$I10,1)),"",INDEX(A$139:A$242,$I10,1))</f>
        <v>SO1</v>
      </c>
      <c r="B10" s="181" t="str">
        <f>IF(ISERROR(INDEX(B$139:B$242,$I10,1)),"",INDEX(B$139:B$242,$I10,1))</f>
        <v>result</v>
      </c>
      <c r="C10" s="97" t="str">
        <f>IF(HLOOKUP($I$64,A$140:AF$164,2,FALSE)=0,"",HLOOKUP($I$64,A$140:AF$164,2,FALSE))</f>
        <v>Number of guest nights generated by the project in Zone B (defined by the Handbook to Tourism Projects in the Hungary-Croatia IPA Cross-border Co-operation Programme 2007-2013)</v>
      </c>
      <c r="D10" s="181" t="str">
        <f>IF(ISERROR(INDEX(D$139:D$242,$I10,1)),"",INDEX(D$139:D$242,$I10,1))</f>
        <v>nights</v>
      </c>
      <c r="E10" s="200">
        <v>0</v>
      </c>
      <c r="F10" s="200">
        <v>300</v>
      </c>
      <c r="G10" s="518" t="s">
        <v>752</v>
      </c>
      <c r="H10" s="371"/>
      <c r="I10" s="176">
        <f>IF(ISERROR(MATCH(C10,C$139:C$242,0)),"",MATCH(C10,C$139:C$242,0))</f>
        <v>3</v>
      </c>
      <c r="J10" s="179">
        <f>IF(OR(M10="",M10="-",M10=0),0,IF(AND(E10&lt;&gt;"",F10&lt;&gt;"",G10&lt;&gt;""),0,C10))</f>
        <v>0</v>
      </c>
      <c r="K10" s="4"/>
      <c r="L10" s="179">
        <f>IF(AND(E10&lt;&gt;"",F10&lt;&gt;"",C10&lt;&gt;"",(F10-E10)&gt;0),1,0)</f>
        <v>1</v>
      </c>
      <c r="M10" s="179">
        <f>IF(ISERROR(INDEX(H$139:H$164,$I10,1)),"",INDEX(H$139:H$164,$I10,1))</f>
        <v>0</v>
      </c>
      <c r="AG10" s="224" t="s">
        <v>649</v>
      </c>
    </row>
    <row r="11" spans="1:33" ht="55.5" customHeight="1" x14ac:dyDescent="0.2">
      <c r="A11" s="729" t="s">
        <v>357</v>
      </c>
      <c r="B11" s="729"/>
      <c r="C11" s="729"/>
      <c r="D11" s="729"/>
      <c r="E11" s="729"/>
      <c r="F11" s="729"/>
      <c r="G11" s="730"/>
      <c r="H11" s="375"/>
    </row>
    <row r="12" spans="1:33" s="3" customFormat="1" ht="9.75" customHeight="1" x14ac:dyDescent="0.2">
      <c r="A12" s="52"/>
      <c r="B12" s="52"/>
      <c r="C12" s="52"/>
      <c r="D12" s="52"/>
      <c r="F12" s="163">
        <f>LEN(A13)</f>
        <v>526</v>
      </c>
      <c r="G12" s="163" t="s">
        <v>213</v>
      </c>
    </row>
    <row r="13" spans="1:33" ht="90.75" customHeight="1" x14ac:dyDescent="0.2">
      <c r="A13" s="727" t="s">
        <v>753</v>
      </c>
      <c r="B13" s="728"/>
      <c r="C13" s="728"/>
      <c r="D13" s="728"/>
      <c r="E13" s="728"/>
      <c r="F13" s="728"/>
      <c r="G13" s="728"/>
      <c r="H13" s="375"/>
    </row>
    <row r="14" spans="1:33" ht="12.75" customHeight="1" x14ac:dyDescent="0.2">
      <c r="A14" s="377"/>
      <c r="B14" s="378"/>
      <c r="C14" s="379"/>
      <c r="D14" s="379"/>
      <c r="E14" s="379"/>
      <c r="F14" s="379"/>
      <c r="G14" s="379"/>
      <c r="H14" s="375"/>
    </row>
    <row r="15" spans="1:33" ht="49.5" customHeight="1" x14ac:dyDescent="0.2">
      <c r="A15" s="725" t="s">
        <v>358</v>
      </c>
      <c r="B15" s="732"/>
      <c r="C15" s="732"/>
      <c r="D15" s="732"/>
      <c r="E15" s="732"/>
      <c r="F15" s="732"/>
      <c r="G15" s="732"/>
      <c r="H15" s="375"/>
    </row>
    <row r="16" spans="1:33" ht="63.75" x14ac:dyDescent="0.2">
      <c r="A16" s="180" t="s">
        <v>414</v>
      </c>
      <c r="B16" s="180" t="s">
        <v>58</v>
      </c>
      <c r="C16" s="180" t="s">
        <v>406</v>
      </c>
      <c r="D16" s="180" t="s">
        <v>41</v>
      </c>
      <c r="E16" s="180" t="s">
        <v>187</v>
      </c>
      <c r="F16" s="180" t="s">
        <v>188</v>
      </c>
      <c r="G16" s="180" t="s">
        <v>356</v>
      </c>
      <c r="H16" s="375"/>
    </row>
    <row r="17" spans="1:33" ht="25.5" x14ac:dyDescent="0.2">
      <c r="A17" s="181" t="str">
        <f>IF(ISERROR(INDEX(A$139:A$242,$I17,1)),"",INDEX(A$139:A$242,$I17,1))</f>
        <v>SO2</v>
      </c>
      <c r="B17" s="181" t="str">
        <f>IF(ISERROR(INDEX(B$139:B$242,$I17,1)),"",INDEX(B$139:B$242,$I17,1))</f>
        <v>output</v>
      </c>
      <c r="C17" s="97" t="str">
        <f>IF(HLOOKUP($I$64,A$140:AF$164,3,FALSE)=0,"",HLOOKUP($I$64,A$140:AF$164,3,FALSE))</f>
        <v xml:space="preserve">Total surface area of rehabilitated land </v>
      </c>
      <c r="D17" s="181" t="str">
        <f>IF(ISERROR(INDEX(D$139:D$242,$I17,1)),"",INDEX(D$139:D$242,$I17,1))</f>
        <v>ha</v>
      </c>
      <c r="E17" s="200"/>
      <c r="F17" s="200"/>
      <c r="G17" s="127" t="s">
        <v>648</v>
      </c>
      <c r="H17" s="371"/>
      <c r="I17" s="176">
        <f>IF(ISERROR(MATCH(C17,C$139:C$242,0)),"",MATCH(C17,C$139:C$242,0))</f>
        <v>4</v>
      </c>
      <c r="J17" s="179">
        <f>IF(OR(M17="",M17="-",M17=0),0,IF(AND(E17&lt;&gt;"",F17&lt;&gt;"",G17&lt;&gt;""),0,C17))</f>
        <v>0</v>
      </c>
      <c r="K17" s="4"/>
      <c r="L17" s="179">
        <f>IF(AND(E17&lt;&gt;"",F17&lt;&gt;"",C17&lt;&gt;"",(F17-E17)&gt;0),1,0)</f>
        <v>0</v>
      </c>
      <c r="M17" s="179">
        <f>IF(ISERROR(INDEX(H$139:H$164,$I17,1)),"",INDEX(H$139:H$164,$I17,1))</f>
        <v>0</v>
      </c>
      <c r="AG17" s="224" t="s">
        <v>648</v>
      </c>
    </row>
    <row r="18" spans="1:33" ht="3" customHeight="1" x14ac:dyDescent="0.2">
      <c r="A18" s="117"/>
      <c r="B18" s="109"/>
      <c r="C18" s="109"/>
      <c r="D18" s="109"/>
      <c r="E18" s="325"/>
      <c r="F18" s="325"/>
      <c r="G18" s="109"/>
      <c r="H18" s="372"/>
      <c r="I18" s="176"/>
    </row>
    <row r="19" spans="1:33" ht="89.25" x14ac:dyDescent="0.2">
      <c r="A19" s="181" t="str">
        <f>IF(ISERROR(INDEX(A$139:A$242,$I19,1)),"",INDEX(A$139:A$242,$I19,1))</f>
        <v>SO3</v>
      </c>
      <c r="B19" s="181" t="str">
        <f>IF(ISERROR(INDEX(B$139:B$242,$I19,1)),"",INDEX(B$139:B$242,$I19,1))</f>
        <v>output</v>
      </c>
      <c r="C19" s="97" t="str">
        <f>IF(HLOOKUP($I$64,A$140:AF$164,4,FALSE)=0,"",HLOOKUP($I$64,A$140:AF$164,4,FALSE))</f>
        <v>Number of visitors attracted to the cultural or natural heritage sites developed by the project</v>
      </c>
      <c r="D19" s="181" t="str">
        <f>IF(ISERROR(INDEX(D$139:D$242,$I19,1)),"",INDEX(D$139:D$242,$I19,1))</f>
        <v>persons</v>
      </c>
      <c r="E19" s="200">
        <v>0</v>
      </c>
      <c r="F19" s="200">
        <v>535</v>
      </c>
      <c r="G19" s="518" t="s">
        <v>746</v>
      </c>
      <c r="H19" s="371"/>
      <c r="I19" s="176">
        <f>IF(ISERROR(MATCH(C19,C$139:C$242,0)),"",MATCH(C19,C$139:C$242,0))</f>
        <v>5</v>
      </c>
      <c r="J19" s="179">
        <f>IF(OR(M19="",M19="-",M19=0),0,IF(AND(E19&lt;&gt;"",F19&lt;&gt;"",G19&lt;&gt;""),0,C19))</f>
        <v>0</v>
      </c>
      <c r="K19" s="4"/>
      <c r="L19" s="179">
        <f>IF(AND(E19&lt;&gt;"",F19&lt;&gt;"",C19&lt;&gt;"",(F19-E19)&gt;0),1,0)</f>
        <v>1</v>
      </c>
      <c r="M19" s="179">
        <f>IF(ISERROR(INDEX(H$139:H$164,$I19,1)),"",INDEX(H$139:H$164,$I19,1))</f>
        <v>0</v>
      </c>
      <c r="AG19" s="224" t="s">
        <v>648</v>
      </c>
    </row>
    <row r="20" spans="1:33" ht="3" customHeight="1" x14ac:dyDescent="0.2">
      <c r="A20" s="117"/>
      <c r="B20" s="109"/>
      <c r="C20" s="109"/>
      <c r="D20" s="109"/>
      <c r="E20" s="325"/>
      <c r="F20" s="325"/>
      <c r="G20" s="109"/>
      <c r="H20" s="372"/>
      <c r="I20" s="176"/>
    </row>
    <row r="21" spans="1:33" ht="25.5" x14ac:dyDescent="0.2">
      <c r="A21" s="181" t="str">
        <f>IF(ISERROR(INDEX(A$139:A$242,$I21,1)),"",INDEX(A$139:A$242,$I21,1))</f>
        <v>SO4</v>
      </c>
      <c r="B21" s="181" t="str">
        <f>IF(ISERROR(INDEX(B$139:B$242,$I21,1)),"",INDEX(B$139:B$242,$I21,1))</f>
        <v>output</v>
      </c>
      <c r="C21" s="97" t="str">
        <f>IF(HLOOKUP($I$64,A$140:AF$164,5,FALSE)=0,"",HLOOKUP($I$64,A$140:AF$164,5,FALSE))</f>
        <v>Number of tourism service providers being certified as environmental friendly</v>
      </c>
      <c r="D21" s="181" t="str">
        <f>IF(ISERROR(INDEX(D$139:D$242,$I21,1)),"",INDEX(D$139:D$242,$I21,1))</f>
        <v>pcs</v>
      </c>
      <c r="E21" s="200"/>
      <c r="F21" s="200"/>
      <c r="G21" s="518"/>
      <c r="H21" s="371"/>
      <c r="I21" s="176">
        <f>IF(ISERROR(MATCH(C21,C$139:C$242,0)),"",MATCH(C21,C$139:C$242,0))</f>
        <v>6</v>
      </c>
      <c r="J21" s="179">
        <f>IF(OR(M21="",M21="-",M21=0),0,IF(AND(E21&lt;&gt;"",F21&lt;&gt;"",G21&lt;&gt;""),0,C21))</f>
        <v>0</v>
      </c>
      <c r="K21" s="4"/>
      <c r="L21" s="179">
        <f>IF(AND(E21&lt;&gt;"",F21&lt;&gt;"",C21&lt;&gt;"",(F21-E21)&gt;0),1,0)</f>
        <v>0</v>
      </c>
      <c r="M21" s="179">
        <f>IF(ISERROR(INDEX(H$139:H$164,$I21,1)),"",INDEX(H$139:H$164,$I21,1))</f>
        <v>0</v>
      </c>
      <c r="AG21" s="224" t="s">
        <v>648</v>
      </c>
    </row>
    <row r="22" spans="1:33" ht="3" customHeight="1" x14ac:dyDescent="0.2">
      <c r="A22" s="117"/>
      <c r="B22" s="109"/>
      <c r="C22" s="109"/>
      <c r="D22" s="109"/>
      <c r="E22" s="325"/>
      <c r="F22" s="325"/>
      <c r="G22" s="109"/>
      <c r="H22" s="372"/>
      <c r="I22" s="176"/>
    </row>
    <row r="23" spans="1:33" ht="25.5" x14ac:dyDescent="0.2">
      <c r="A23" s="181" t="str">
        <f>IF(ISERROR(INDEX(A$139:A$242,$I23,1)),"",INDEX(A$139:A$242,$I23,1))</f>
        <v/>
      </c>
      <c r="B23" s="181" t="str">
        <f>IF(ISERROR(INDEX(B$139:B$242,$I23,1)),"",INDEX(B$139:B$242,$I23,1))</f>
        <v/>
      </c>
      <c r="C23" s="97" t="str">
        <f>IF(HLOOKUP($I$64,A$140:AF$164,6,FALSE)=0,"",HLOOKUP($I$64,A$140:AF$164,6,FALSE))</f>
        <v/>
      </c>
      <c r="D23" s="181" t="str">
        <f>IF(ISERROR(INDEX(D$139:D$242,$I23,1)),"",INDEX(D$139:D$242,$I23,1))</f>
        <v/>
      </c>
      <c r="E23" s="200"/>
      <c r="F23" s="200"/>
      <c r="G23" s="127" t="s">
        <v>648</v>
      </c>
      <c r="H23" s="371"/>
      <c r="I23" s="176" t="str">
        <f>IF(ISERROR(MATCH(C23,C$139:C$242,0)),"",MATCH(C23,C$139:C$242,0))</f>
        <v/>
      </c>
      <c r="J23" s="179">
        <f>IF(OR(M23="",M23="-",M23=0),0,IF(AND(E23&lt;&gt;"",F23&lt;&gt;"",G23&lt;&gt;""),0,C23))</f>
        <v>0</v>
      </c>
      <c r="K23" s="4"/>
      <c r="L23" s="179">
        <f>IF(AND(E23&lt;&gt;"",F23&lt;&gt;"",C23&lt;&gt;"",(F23-E23)&gt;0),1,0)</f>
        <v>0</v>
      </c>
      <c r="M23" s="179" t="str">
        <f>IF(ISERROR(INDEX(H$139:H$164,$I23,1)),"",INDEX(H$139:H$164,$I23,1))</f>
        <v/>
      </c>
      <c r="AG23" s="224" t="s">
        <v>648</v>
      </c>
    </row>
    <row r="24" spans="1:33" ht="3" customHeight="1" x14ac:dyDescent="0.2">
      <c r="A24" s="117"/>
      <c r="B24" s="109"/>
      <c r="C24" s="109"/>
      <c r="D24" s="109"/>
      <c r="E24" s="325"/>
      <c r="F24" s="325"/>
      <c r="G24" s="109"/>
      <c r="H24" s="372"/>
      <c r="I24" s="176"/>
    </row>
    <row r="25" spans="1:33" ht="25.5" x14ac:dyDescent="0.2">
      <c r="A25" s="181" t="str">
        <f>IF(ISERROR(INDEX(A$139:A$242,$I25,1)),"",INDEX(A$139:A$242,$I25,1))</f>
        <v/>
      </c>
      <c r="B25" s="181" t="str">
        <f>IF(ISERROR(INDEX(B$139:B$242,$I25,1)),"",INDEX(B$139:B$242,$I25,1))</f>
        <v/>
      </c>
      <c r="C25" s="97" t="str">
        <f>IF(HLOOKUP($I$64,A$140:AF$164,7,FALSE)=0,"",HLOOKUP($I$64,A$140:AF$164,7,FALSE))</f>
        <v/>
      </c>
      <c r="D25" s="181" t="str">
        <f>IF(ISERROR(INDEX(D$139:D$242,$I25,1)),"",INDEX(D$139:D$242,$I25,1))</f>
        <v/>
      </c>
      <c r="E25" s="200"/>
      <c r="F25" s="200"/>
      <c r="G25" s="127" t="s">
        <v>648</v>
      </c>
      <c r="H25" s="371"/>
      <c r="I25" s="176" t="str">
        <f>IF(ISERROR(MATCH(C25,C$139:C$242,0)),"",MATCH(C25,C$139:C$242,0))</f>
        <v/>
      </c>
      <c r="J25" s="179">
        <f>IF(OR(M25="",M25="-",M25=0),0,IF(AND(E25&lt;&gt;"",F25&lt;&gt;"",G25&lt;&gt;""),0,C25))</f>
        <v>0</v>
      </c>
      <c r="K25" s="4"/>
      <c r="L25" s="179">
        <f>IF(AND(E25&lt;&gt;"",F25&lt;&gt;"",C25&lt;&gt;"",(F25-E25)&gt;0),1,0)</f>
        <v>0</v>
      </c>
      <c r="M25" s="179" t="str">
        <f>IF(ISERROR(INDEX(H$139:H$164,$I25,1)),"",INDEX(H$139:H$164,$I25,1))</f>
        <v/>
      </c>
      <c r="AG25" s="224" t="s">
        <v>648</v>
      </c>
    </row>
    <row r="26" spans="1:33" ht="57.75" customHeight="1" x14ac:dyDescent="0.2">
      <c r="A26" s="729" t="s">
        <v>647</v>
      </c>
      <c r="B26" s="729"/>
      <c r="C26" s="729"/>
      <c r="D26" s="729"/>
      <c r="E26" s="729"/>
      <c r="F26" s="729"/>
      <c r="G26" s="730"/>
      <c r="H26" s="490"/>
      <c r="I26" s="176"/>
      <c r="K26" s="4"/>
    </row>
    <row r="27" spans="1:33" s="3" customFormat="1" ht="9.75" customHeight="1" x14ac:dyDescent="0.2">
      <c r="A27" s="52"/>
      <c r="B27" s="52"/>
      <c r="C27" s="52"/>
      <c r="D27" s="52"/>
      <c r="F27" s="163">
        <f>LEN(A28)</f>
        <v>570</v>
      </c>
      <c r="G27" s="163" t="s">
        <v>213</v>
      </c>
    </row>
    <row r="28" spans="1:33" ht="90.75" customHeight="1" x14ac:dyDescent="0.2">
      <c r="A28" s="727" t="s">
        <v>964</v>
      </c>
      <c r="B28" s="728"/>
      <c r="C28" s="728"/>
      <c r="D28" s="728"/>
      <c r="E28" s="728"/>
      <c r="F28" s="728"/>
      <c r="G28" s="728"/>
      <c r="H28" s="375"/>
    </row>
    <row r="29" spans="1:33" ht="12.75" customHeight="1" x14ac:dyDescent="0.2">
      <c r="A29" s="377"/>
      <c r="B29" s="378"/>
      <c r="C29" s="379"/>
      <c r="D29" s="379"/>
      <c r="E29" s="379"/>
      <c r="F29" s="379"/>
      <c r="G29" s="379"/>
      <c r="H29" s="375"/>
    </row>
    <row r="30" spans="1:33" ht="99.75" customHeight="1" x14ac:dyDescent="0.2">
      <c r="A30" s="725" t="s">
        <v>655</v>
      </c>
      <c r="B30" s="726"/>
      <c r="C30" s="726"/>
      <c r="D30" s="726"/>
      <c r="E30" s="726"/>
      <c r="F30" s="726"/>
      <c r="G30" s="726"/>
      <c r="H30" s="326"/>
    </row>
    <row r="31" spans="1:33" ht="67.5" customHeight="1" x14ac:dyDescent="0.2">
      <c r="A31" s="180" t="s">
        <v>414</v>
      </c>
      <c r="B31" s="180" t="s">
        <v>58</v>
      </c>
      <c r="C31" s="180" t="s">
        <v>186</v>
      </c>
      <c r="D31" s="180" t="s">
        <v>41</v>
      </c>
      <c r="E31" s="180" t="s">
        <v>187</v>
      </c>
      <c r="F31" s="180" t="s">
        <v>188</v>
      </c>
      <c r="G31" s="180" t="s">
        <v>356</v>
      </c>
      <c r="H31" s="369"/>
      <c r="I31" s="176"/>
    </row>
    <row r="32" spans="1:33" ht="12.75" customHeight="1" x14ac:dyDescent="0.2">
      <c r="A32" s="723" t="s">
        <v>169</v>
      </c>
      <c r="B32" s="723"/>
      <c r="C32" s="723"/>
      <c r="D32" s="723"/>
      <c r="E32" s="723"/>
      <c r="F32" s="723"/>
      <c r="G32" s="723"/>
      <c r="H32" s="176" t="str">
        <f>IF(SUM(H33:H51)&gt;=2,A32,SUM(H33:H51))</f>
        <v>General indicators</v>
      </c>
      <c r="I32" s="176"/>
    </row>
    <row r="33" spans="1:13" ht="38.25" x14ac:dyDescent="0.2">
      <c r="A33" s="181" t="str">
        <f>IF(ISERROR(INDEX(A$113:A$129,I33,1)),"",INDEX(A$113:A$129,I33,1))</f>
        <v>G2</v>
      </c>
      <c r="B33" s="181" t="str">
        <f>IF(ISERROR(INDEX(B$113:B$129,I33,1)),"",INDEX(B$113:B$129,I33,1))</f>
        <v>output</v>
      </c>
      <c r="C33" s="199" t="s">
        <v>194</v>
      </c>
      <c r="D33" s="181" t="str">
        <f>IF(ISERROR(INDEX(D$113:D$129,I33,1)),"",INDEX(D$113:D$129,I33,1))</f>
        <v>km</v>
      </c>
      <c r="E33" s="200">
        <v>0</v>
      </c>
      <c r="F33" s="200">
        <v>0.91400000000000003</v>
      </c>
      <c r="G33" s="518" t="s">
        <v>1013</v>
      </c>
      <c r="H33" s="176">
        <f>IF(AND(C33&lt;&gt;"",E33&lt;&gt;"",F33&lt;&gt;"",G33&lt;&gt;""),1,0)</f>
        <v>1</v>
      </c>
      <c r="I33" s="176">
        <f>IF(ISERROR(MATCH(C33,C$113:C$129,0)),"",MATCH(C33,C$113:C$129,0))</f>
        <v>2</v>
      </c>
      <c r="M33" s="254"/>
    </row>
    <row r="34" spans="1:13" ht="3" customHeight="1" x14ac:dyDescent="0.2">
      <c r="A34" s="117"/>
      <c r="B34" s="109"/>
      <c r="C34" s="109"/>
      <c r="D34" s="109"/>
      <c r="E34" s="325"/>
      <c r="F34" s="325"/>
      <c r="G34" s="109"/>
      <c r="H34" s="176"/>
      <c r="I34" s="176" t="str">
        <f>IF(ISERROR(MATCH(C34,C$139:C$164,0)),"",MATCH(C34,C$139:C$164,0))</f>
        <v/>
      </c>
    </row>
    <row r="35" spans="1:13" ht="102" x14ac:dyDescent="0.2">
      <c r="A35" s="181" t="str">
        <f>IF(ISERROR(INDEX(A$113:A$129,I35,1)),"",INDEX(A$113:A$129,I35,1))</f>
        <v>G1</v>
      </c>
      <c r="B35" s="181" t="str">
        <f>IF(ISERROR(INDEX(B$113:B$129,I35,1)),"",INDEX(B$113:B$129,I35,1))</f>
        <v>result</v>
      </c>
      <c r="C35" s="199" t="s">
        <v>191</v>
      </c>
      <c r="D35" s="181" t="str">
        <f>IF(ISERROR(INDEX(D$113:D$129,I35,1)),"",INDEX(D$113:D$129,I35,1))</f>
        <v>pcs</v>
      </c>
      <c r="E35" s="200">
        <v>0</v>
      </c>
      <c r="F35" s="200">
        <v>11</v>
      </c>
      <c r="G35" s="518" t="s">
        <v>1040</v>
      </c>
      <c r="H35" s="176">
        <f>IF(AND(C35&lt;&gt;"",E35&lt;&gt;"",F35&lt;&gt;"",G35&lt;&gt;""),1,0)</f>
        <v>1</v>
      </c>
      <c r="I35" s="176">
        <f t="shared" ref="I35:I52" si="0">IF(ISERROR(MATCH(C35,C$113:C$129,0)),"",MATCH(C35,C$113:C$129,0))</f>
        <v>1</v>
      </c>
    </row>
    <row r="36" spans="1:13" ht="3" customHeight="1" x14ac:dyDescent="0.2">
      <c r="A36" s="117"/>
      <c r="B36" s="109"/>
      <c r="C36" s="109"/>
      <c r="D36" s="109"/>
      <c r="E36" s="325"/>
      <c r="F36" s="325"/>
      <c r="G36" s="109"/>
      <c r="H36" s="176"/>
      <c r="I36" s="176" t="str">
        <f t="shared" si="0"/>
        <v/>
      </c>
    </row>
    <row r="37" spans="1:13" ht="89.25" x14ac:dyDescent="0.2">
      <c r="A37" s="181" t="str">
        <f>IF(ISERROR(INDEX(A$113:A$129,I37,1)),"",INDEX(A$113:A$129,I37,1))</f>
        <v>G4</v>
      </c>
      <c r="B37" s="181" t="str">
        <f>IF(ISERROR(INDEX(B$113:B$129,I37,1)),"",INDEX(B$113:B$129,I37,1))</f>
        <v>result</v>
      </c>
      <c r="C37" s="199" t="s">
        <v>408</v>
      </c>
      <c r="D37" s="181" t="str">
        <f>IF(ISERROR(INDEX(D$113:D$129,I37,1)),"",INDEX(D$113:D$129,I37,1))</f>
        <v>persons</v>
      </c>
      <c r="E37" s="200">
        <v>0</v>
      </c>
      <c r="F37" s="200">
        <v>535</v>
      </c>
      <c r="G37" s="518" t="s">
        <v>746</v>
      </c>
      <c r="H37" s="176">
        <f>IF(AND(C37&lt;&gt;"",E37&lt;&gt;"",F37&lt;&gt;"",G37&lt;&gt;""),1,0)</f>
        <v>1</v>
      </c>
      <c r="I37" s="176">
        <f t="shared" si="0"/>
        <v>4</v>
      </c>
    </row>
    <row r="38" spans="1:13" ht="3" customHeight="1" x14ac:dyDescent="0.2">
      <c r="A38" s="117"/>
      <c r="B38" s="109"/>
      <c r="C38" s="109"/>
      <c r="D38" s="109"/>
      <c r="E38" s="325"/>
      <c r="F38" s="325"/>
      <c r="G38" s="109"/>
      <c r="H38" s="176"/>
      <c r="I38" s="176" t="str">
        <f t="shared" si="0"/>
        <v/>
      </c>
    </row>
    <row r="39" spans="1:13" ht="76.5" x14ac:dyDescent="0.2">
      <c r="A39" s="181" t="str">
        <f>IF(ISERROR(INDEX(A$113:A$129,I39,1)),"",INDEX(A$113:A$129,I39,1))</f>
        <v>G3</v>
      </c>
      <c r="B39" s="181" t="str">
        <f>IF(ISERROR(INDEX(B$113:B$129,I39,1)),"",INDEX(B$113:B$129,I39,1))</f>
        <v>output</v>
      </c>
      <c r="C39" s="199" t="s">
        <v>195</v>
      </c>
      <c r="D39" s="181" t="str">
        <f>IF(ISERROR(INDEX(D$113:D$129,I39,1)),"",INDEX(D$113:D$129,I39,1))</f>
        <v>m2</v>
      </c>
      <c r="E39" s="200">
        <v>0</v>
      </c>
      <c r="F39" s="200">
        <v>533.74</v>
      </c>
      <c r="G39" s="518" t="s">
        <v>1006</v>
      </c>
      <c r="H39" s="176">
        <f>IF(AND(C39&lt;&gt;"",E39&lt;&gt;"",F39&lt;&gt;"",G39&lt;&gt;""),1,0)</f>
        <v>1</v>
      </c>
      <c r="I39" s="176">
        <f t="shared" si="0"/>
        <v>3</v>
      </c>
    </row>
    <row r="40" spans="1:13" ht="3" customHeight="1" x14ac:dyDescent="0.2">
      <c r="A40" s="117"/>
      <c r="B40" s="109"/>
      <c r="C40" s="109"/>
      <c r="D40" s="109"/>
      <c r="E40" s="325"/>
      <c r="F40" s="325"/>
      <c r="G40" s="109"/>
      <c r="H40" s="176"/>
      <c r="I40" s="176" t="str">
        <f t="shared" si="0"/>
        <v/>
      </c>
    </row>
    <row r="41" spans="1:13" ht="102" x14ac:dyDescent="0.2">
      <c r="A41" s="181" t="str">
        <f>IF(ISERROR(INDEX(A$113:A$129,I41,1)),"",INDEX(A$113:A$129,I41,1))</f>
        <v>G5</v>
      </c>
      <c r="B41" s="181" t="str">
        <f>IF(ISERROR(INDEX(B$113:B$129,I41,1)),"",INDEX(B$113:B$129,I41,1))</f>
        <v>output</v>
      </c>
      <c r="C41" s="199" t="s">
        <v>409</v>
      </c>
      <c r="D41" s="181" t="str">
        <f>IF(ISERROR(INDEX(D$113:D$129,I41,1)),"",INDEX(D$113:D$129,I41,1))</f>
        <v>pcs</v>
      </c>
      <c r="E41" s="200">
        <v>0</v>
      </c>
      <c r="F41" s="200">
        <v>23</v>
      </c>
      <c r="G41" s="518" t="s">
        <v>747</v>
      </c>
      <c r="H41" s="176">
        <f>IF(AND(C41&lt;&gt;"",E41&lt;&gt;"",F41&lt;&gt;"",G41&lt;&gt;""),1,0)</f>
        <v>1</v>
      </c>
      <c r="I41" s="176">
        <f t="shared" si="0"/>
        <v>5</v>
      </c>
    </row>
    <row r="42" spans="1:13" ht="3" customHeight="1" x14ac:dyDescent="0.2">
      <c r="A42" s="117"/>
      <c r="B42" s="109"/>
      <c r="C42" s="109"/>
      <c r="D42" s="109"/>
      <c r="E42" s="325"/>
      <c r="F42" s="325"/>
      <c r="G42" s="127"/>
      <c r="H42" s="176"/>
      <c r="I42" s="176" t="str">
        <f t="shared" si="0"/>
        <v/>
      </c>
    </row>
    <row r="43" spans="1:13" ht="38.25" x14ac:dyDescent="0.2">
      <c r="A43" s="181" t="str">
        <f>IF(ISERROR(INDEX(A$113:A$129,I43,1)),"",INDEX(A$113:A$129,I43,1))</f>
        <v>G8</v>
      </c>
      <c r="B43" s="181" t="str">
        <f>IF(ISERROR(INDEX(B$113:B$129,I43,1)),"",INDEX(B$113:B$129,I43,1))</f>
        <v>output</v>
      </c>
      <c r="C43" s="199" t="s">
        <v>411</v>
      </c>
      <c r="D43" s="181" t="str">
        <f>IF(ISERROR(INDEX(D$113:D$129,I43,1)),"",INDEX(D$113:D$129,I43,1))</f>
        <v>pcs</v>
      </c>
      <c r="E43" s="200">
        <v>0</v>
      </c>
      <c r="F43" s="200">
        <v>1</v>
      </c>
      <c r="G43" s="491" t="s">
        <v>748</v>
      </c>
      <c r="H43" s="176">
        <f>IF(AND(C43&lt;&gt;"",E43&lt;&gt;"",F43&lt;&gt;"",G43&lt;&gt;""),1,0)</f>
        <v>1</v>
      </c>
      <c r="I43" s="176">
        <f t="shared" si="0"/>
        <v>8</v>
      </c>
    </row>
    <row r="44" spans="1:13" ht="3" customHeight="1" x14ac:dyDescent="0.2">
      <c r="A44" s="117"/>
      <c r="B44" s="109"/>
      <c r="C44" s="109"/>
      <c r="D44" s="109"/>
      <c r="E44" s="325"/>
      <c r="F44" s="325"/>
      <c r="G44" s="127"/>
      <c r="H44" s="176"/>
      <c r="I44" s="176" t="str">
        <f t="shared" si="0"/>
        <v/>
      </c>
    </row>
    <row r="45" spans="1:13" x14ac:dyDescent="0.2">
      <c r="A45" s="181" t="str">
        <f>IF(ISERROR(INDEX(A$113:A$129,I45,1)),"",INDEX(A$113:A$129,I45,1))</f>
        <v>G9</v>
      </c>
      <c r="B45" s="181" t="str">
        <f>IF(ISERROR(INDEX(B$113:B$129,I45,1)),"",INDEX(B$113:B$129,I45,1))</f>
        <v>output</v>
      </c>
      <c r="C45" s="199" t="s">
        <v>412</v>
      </c>
      <c r="D45" s="181" t="str">
        <f>IF(ISERROR(INDEX(D$113:D$129,I45,1)),"",INDEX(D$113:D$129,I45,1))</f>
        <v>pcs</v>
      </c>
      <c r="E45" s="200">
        <v>0</v>
      </c>
      <c r="F45" s="200">
        <v>1</v>
      </c>
      <c r="G45" s="518" t="s">
        <v>749</v>
      </c>
      <c r="H45" s="176">
        <f>IF(AND(C45&lt;&gt;"",E45&lt;&gt;"",F45&lt;&gt;"",G45&lt;&gt;""),1,0)</f>
        <v>1</v>
      </c>
      <c r="I45" s="176">
        <f t="shared" si="0"/>
        <v>9</v>
      </c>
    </row>
    <row r="46" spans="1:13" ht="3" customHeight="1" x14ac:dyDescent="0.2">
      <c r="A46" s="117"/>
      <c r="B46" s="109"/>
      <c r="C46" s="109"/>
      <c r="D46" s="109"/>
      <c r="E46" s="325"/>
      <c r="F46" s="325"/>
      <c r="G46" s="109"/>
      <c r="H46" s="176"/>
      <c r="I46" s="176" t="str">
        <f t="shared" si="0"/>
        <v/>
      </c>
    </row>
    <row r="47" spans="1:13" ht="76.5" x14ac:dyDescent="0.2">
      <c r="A47" s="181" t="str">
        <f>IF(ISERROR(INDEX(A$113:A$129,I47,1)),"",INDEX(A$113:A$129,I47,1))</f>
        <v>G10</v>
      </c>
      <c r="B47" s="181" t="str">
        <f>IF(ISERROR(INDEX(B$113:B$129,I47,1)),"",INDEX(B$113:B$129,I47,1))</f>
        <v>output</v>
      </c>
      <c r="C47" s="199" t="s">
        <v>413</v>
      </c>
      <c r="D47" s="181" t="str">
        <f>IF(ISERROR(INDEX(D$113:D$129,I47,1)),"",INDEX(D$113:D$129,I47,1))</f>
        <v>person</v>
      </c>
      <c r="E47" s="200">
        <v>0</v>
      </c>
      <c r="F47" s="200">
        <v>2</v>
      </c>
      <c r="G47" s="539" t="s">
        <v>1080</v>
      </c>
      <c r="H47" s="176">
        <f>IF(AND(C47&lt;&gt;"",E47&lt;&gt;"",F47&lt;&gt;"",G47&lt;&gt;""),1,0)</f>
        <v>1</v>
      </c>
      <c r="I47" s="176">
        <f t="shared" si="0"/>
        <v>10</v>
      </c>
    </row>
    <row r="48" spans="1:13" ht="3" customHeight="1" x14ac:dyDescent="0.2">
      <c r="A48" s="117"/>
      <c r="B48" s="109"/>
      <c r="C48" s="109"/>
      <c r="D48" s="109"/>
      <c r="E48" s="325"/>
      <c r="F48" s="325"/>
      <c r="G48" s="127"/>
      <c r="H48" s="176"/>
      <c r="I48" s="176" t="str">
        <f t="shared" si="0"/>
        <v/>
      </c>
    </row>
    <row r="49" spans="1:12" x14ac:dyDescent="0.2">
      <c r="A49" s="181" t="str">
        <f>IF(ISERROR(INDEX(A$113:A$129,I49,1)),"",INDEX(A$113:A$129,I49,1))</f>
        <v/>
      </c>
      <c r="B49" s="181" t="str">
        <f>IF(ISERROR(INDEX(B$113:B$129,I49,1)),"",INDEX(B$113:B$129,I49,1))</f>
        <v/>
      </c>
      <c r="C49" s="199"/>
      <c r="D49" s="181" t="str">
        <f>IF(ISERROR(INDEX(D$113:D$129,I49,1)),"",INDEX(D$113:D$129,I49,1))</f>
        <v/>
      </c>
      <c r="E49" s="200"/>
      <c r="F49" s="200"/>
      <c r="G49" s="491"/>
      <c r="H49" s="176">
        <f>IF(AND(C49&lt;&gt;"",E49&lt;&gt;"",F49&lt;&gt;"",G49&lt;&gt;""),1,0)</f>
        <v>0</v>
      </c>
      <c r="I49" s="176" t="str">
        <f t="shared" si="0"/>
        <v/>
      </c>
    </row>
    <row r="50" spans="1:12" ht="3" customHeight="1" x14ac:dyDescent="0.2">
      <c r="A50" s="117"/>
      <c r="B50" s="109"/>
      <c r="C50" s="109"/>
      <c r="D50" s="109"/>
      <c r="E50" s="325"/>
      <c r="F50" s="325"/>
      <c r="G50" s="127"/>
      <c r="H50" s="176"/>
      <c r="I50" s="176" t="str">
        <f t="shared" si="0"/>
        <v/>
      </c>
    </row>
    <row r="51" spans="1:12" x14ac:dyDescent="0.2">
      <c r="A51" s="181" t="str">
        <f>IF(ISERROR(INDEX(A$113:A$129,I51,1)),"",INDEX(A$113:A$129,I51,1))</f>
        <v/>
      </c>
      <c r="B51" s="181" t="str">
        <f>IF(ISERROR(INDEX(B$113:B$129,I51,1)),"",INDEX(B$113:B$129,I51,1))</f>
        <v/>
      </c>
      <c r="C51" s="199"/>
      <c r="D51" s="181" t="str">
        <f>IF(ISERROR(INDEX(D$113:D$129,I51,1)),"",INDEX(D$113:D$129,I51,1))</f>
        <v/>
      </c>
      <c r="E51" s="200"/>
      <c r="F51" s="200"/>
      <c r="G51" s="127"/>
      <c r="H51" s="176">
        <f>IF(AND(C51&lt;&gt;"",E51&lt;&gt;"",F51&lt;&gt;"",G51&lt;&gt;""),1,0)</f>
        <v>0</v>
      </c>
      <c r="I51" s="176" t="str">
        <f t="shared" si="0"/>
        <v/>
      </c>
    </row>
    <row r="52" spans="1:12" ht="12.75" customHeight="1" x14ac:dyDescent="0.2">
      <c r="A52" s="723" t="s">
        <v>208</v>
      </c>
      <c r="B52" s="723"/>
      <c r="C52" s="723"/>
      <c r="D52" s="723"/>
      <c r="E52" s="723"/>
      <c r="F52" s="723"/>
      <c r="G52" s="723"/>
      <c r="H52" s="176" t="str">
        <f>IF(SUM(H53:H63)&gt;=1,A52,SUM(H53:H63))</f>
        <v>Horizontal indicators</v>
      </c>
      <c r="I52" s="176" t="str">
        <f t="shared" si="0"/>
        <v/>
      </c>
    </row>
    <row r="53" spans="1:12" ht="89.25" x14ac:dyDescent="0.2">
      <c r="A53" s="181" t="str">
        <f>IF(ISERROR(INDEX(A$132:A$137,I53,1)),"",INDEX(A$132:A$137,I53,1))</f>
        <v>H3</v>
      </c>
      <c r="B53" s="181" t="str">
        <f>IF(ISERROR(INDEX(B$132:B$137,I53,1)),"",INDEX(B$132:B$137,I53,1))</f>
        <v>output</v>
      </c>
      <c r="C53" s="199" t="s">
        <v>433</v>
      </c>
      <c r="D53" s="181" t="str">
        <f>IF(ISERROR(INDEX(D$132:D$137,I53,1)),"",INDEX(D$132:D$137,I53,1))</f>
        <v>pcs</v>
      </c>
      <c r="E53" s="200">
        <v>0</v>
      </c>
      <c r="F53" s="200">
        <v>7</v>
      </c>
      <c r="G53" s="518" t="s">
        <v>965</v>
      </c>
      <c r="H53" s="176">
        <f>IF(AND(C53&lt;&gt;"",E53&lt;&gt;"",F53&lt;&gt;"",G53&lt;&gt;""),1,0)</f>
        <v>1</v>
      </c>
      <c r="I53" s="176">
        <f t="shared" ref="I53:I63" si="1">IF(ISERROR(MATCH(C53,C$132:C$137,0)),"",MATCH(C53,C$132:C$137,0))</f>
        <v>3</v>
      </c>
    </row>
    <row r="54" spans="1:12" ht="3" customHeight="1" x14ac:dyDescent="0.2">
      <c r="A54" s="117"/>
      <c r="B54" s="109"/>
      <c r="C54" s="109"/>
      <c r="D54" s="109"/>
      <c r="E54" s="325"/>
      <c r="F54" s="325"/>
      <c r="G54" s="109"/>
      <c r="H54" s="176"/>
      <c r="I54" s="176" t="str">
        <f t="shared" si="1"/>
        <v/>
      </c>
    </row>
    <row r="55" spans="1:12" ht="51" x14ac:dyDescent="0.2">
      <c r="A55" s="181" t="str">
        <f>IF(ISERROR(INDEX(A$132:A$137,I55,1)),"",INDEX(A$132:A$137,I55,1))</f>
        <v>H5</v>
      </c>
      <c r="B55" s="181" t="str">
        <f>IF(ISERROR(INDEX(B$132:B$137,I55,1)),"",INDEX(B$132:B$137,I55,1))</f>
        <v>output</v>
      </c>
      <c r="C55" s="199" t="s">
        <v>435</v>
      </c>
      <c r="D55" s="181" t="str">
        <f>IF(ISERROR(INDEX(D$132:D$137,I55,1)),"",INDEX(D$132:D$137,I55,1))</f>
        <v>pcs</v>
      </c>
      <c r="E55" s="200">
        <v>0</v>
      </c>
      <c r="F55" s="200">
        <v>6</v>
      </c>
      <c r="G55" s="518" t="s">
        <v>966</v>
      </c>
      <c r="H55" s="176">
        <f>IF(AND(C55&lt;&gt;"",E55&lt;&gt;"",F55&lt;&gt;"",G55&lt;&gt;""),1,0)</f>
        <v>1</v>
      </c>
      <c r="I55" s="176">
        <f t="shared" si="1"/>
        <v>5</v>
      </c>
    </row>
    <row r="56" spans="1:12" ht="3" customHeight="1" x14ac:dyDescent="0.2">
      <c r="A56" s="117"/>
      <c r="B56" s="109"/>
      <c r="C56" s="109"/>
      <c r="D56" s="109"/>
      <c r="E56" s="325"/>
      <c r="F56" s="325"/>
      <c r="G56" s="109"/>
      <c r="H56" s="176"/>
      <c r="I56" s="176" t="str">
        <f t="shared" si="1"/>
        <v/>
      </c>
    </row>
    <row r="57" spans="1:12" x14ac:dyDescent="0.2">
      <c r="A57" s="181" t="str">
        <f>IF(ISERROR(INDEX(A$132:A$137,I57,1)),"",INDEX(A$132:A$137,I57,1))</f>
        <v/>
      </c>
      <c r="B57" s="181" t="str">
        <f>IF(ISERROR(INDEX(B$132:B$137,I57,1)),"",INDEX(B$132:B$137,I57,1))</f>
        <v/>
      </c>
      <c r="C57" s="199"/>
      <c r="D57" s="181" t="str">
        <f>IF(ISERROR(INDEX(D$132:D$137,I57,1)),"",INDEX(D$132:D$137,I57,1))</f>
        <v/>
      </c>
      <c r="E57" s="200"/>
      <c r="F57" s="200"/>
      <c r="G57" s="127"/>
      <c r="H57" s="176">
        <f>IF(AND(C57&lt;&gt;"",E57&lt;&gt;"",F57&lt;&gt;"",G57&lt;&gt;""),1,0)</f>
        <v>0</v>
      </c>
      <c r="I57" s="176" t="str">
        <f t="shared" si="1"/>
        <v/>
      </c>
    </row>
    <row r="58" spans="1:12" ht="3" customHeight="1" x14ac:dyDescent="0.2">
      <c r="A58" s="117"/>
      <c r="B58" s="109"/>
      <c r="C58" s="109"/>
      <c r="D58" s="109"/>
      <c r="E58" s="325"/>
      <c r="F58" s="325"/>
      <c r="G58" s="109"/>
      <c r="H58" s="176"/>
      <c r="I58" s="176" t="str">
        <f t="shared" si="1"/>
        <v/>
      </c>
    </row>
    <row r="59" spans="1:12" s="443" customFormat="1" x14ac:dyDescent="0.2">
      <c r="A59" s="181" t="str">
        <f>IF(ISERROR(INDEX(A$132:A$137,I59,1)),"",INDEX(A$132:A$137,I59,1))</f>
        <v/>
      </c>
      <c r="B59" s="181" t="str">
        <f>IF(ISERROR(INDEX(B$132:B$137,I59,1)),"",INDEX(B$132:B$137,I59,1))</f>
        <v/>
      </c>
      <c r="C59" s="199"/>
      <c r="D59" s="181" t="str">
        <f>IF(ISERROR(INDEX(D$132:D$137,I59,1)),"",INDEX(D$132:D$137,I59,1))</f>
        <v/>
      </c>
      <c r="E59" s="440"/>
      <c r="F59" s="440"/>
      <c r="G59" s="441"/>
      <c r="H59" s="442">
        <f>IF(AND(C59&lt;&gt;"",E59&lt;&gt;"",F59&lt;&gt;"",G59&lt;&gt;""),1,0)</f>
        <v>0</v>
      </c>
      <c r="I59" s="442" t="str">
        <f t="shared" si="1"/>
        <v/>
      </c>
    </row>
    <row r="60" spans="1:12" s="443" customFormat="1" ht="3" customHeight="1" x14ac:dyDescent="0.2">
      <c r="A60" s="444"/>
      <c r="B60" s="445"/>
      <c r="C60" s="445"/>
      <c r="D60" s="445"/>
      <c r="E60" s="446"/>
      <c r="F60" s="446"/>
      <c r="G60" s="445"/>
      <c r="H60" s="442"/>
      <c r="I60" s="442" t="str">
        <f t="shared" si="1"/>
        <v/>
      </c>
    </row>
    <row r="61" spans="1:12" x14ac:dyDescent="0.2">
      <c r="A61" s="181" t="str">
        <f>IF(ISERROR(INDEX(A$132:A$137,I61,1)),"",INDEX(A$132:A$137,I61,1))</f>
        <v/>
      </c>
      <c r="B61" s="181" t="str">
        <f>IF(ISERROR(INDEX(B$132:B$137,I61,1)),"",INDEX(B$132:B$137,I61,1))</f>
        <v/>
      </c>
      <c r="C61" s="199"/>
      <c r="D61" s="181" t="str">
        <f>IF(ISERROR(INDEX(D$132:D$137,I61,1)),"",INDEX(D$132:D$137,I61,1))</f>
        <v/>
      </c>
      <c r="E61" s="200"/>
      <c r="F61" s="200"/>
      <c r="G61" s="127"/>
      <c r="H61" s="176">
        <f>IF(AND(C61&lt;&gt;"",E61&lt;&gt;"",F61&lt;&gt;"",G61&lt;&gt;""),1,0)</f>
        <v>0</v>
      </c>
      <c r="I61" s="176" t="str">
        <f t="shared" si="1"/>
        <v/>
      </c>
    </row>
    <row r="62" spans="1:12" ht="3" customHeight="1" x14ac:dyDescent="0.2">
      <c r="A62" s="117"/>
      <c r="B62" s="109"/>
      <c r="C62" s="109"/>
      <c r="D62" s="109"/>
      <c r="E62" s="325"/>
      <c r="F62" s="325"/>
      <c r="G62" s="127"/>
      <c r="H62" s="176"/>
      <c r="I62" s="176" t="str">
        <f t="shared" si="1"/>
        <v/>
      </c>
    </row>
    <row r="63" spans="1:12" x14ac:dyDescent="0.2">
      <c r="A63" s="181" t="str">
        <f>IF(ISERROR(INDEX(A$132:A$137,I63,1)),"",INDEX(A$132:A$137,I63,1))</f>
        <v/>
      </c>
      <c r="B63" s="181" t="str">
        <f>IF(ISERROR(INDEX(B$113:B$129,I63,1)),"",INDEX(B$113:B$129,I63,1))</f>
        <v/>
      </c>
      <c r="C63" s="199"/>
      <c r="D63" s="181" t="str">
        <f>IF(ISERROR(INDEX(D$132:D$137,I63,1)),"",INDEX(D$132:D$137,I63,1))</f>
        <v/>
      </c>
      <c r="E63" s="200"/>
      <c r="F63" s="200"/>
      <c r="G63" s="491"/>
      <c r="H63" s="176">
        <f>IF(AND(C63&lt;&gt;"",E63&lt;&gt;"",F63&lt;&gt;"",G63&lt;&gt;""),1,0)</f>
        <v>0</v>
      </c>
      <c r="I63" s="176" t="str">
        <f t="shared" si="1"/>
        <v/>
      </c>
    </row>
    <row r="64" spans="1:12" ht="12.75" customHeight="1" x14ac:dyDescent="0.2">
      <c r="A64" s="723" t="s">
        <v>359</v>
      </c>
      <c r="B64" s="723"/>
      <c r="C64" s="723"/>
      <c r="D64" s="723"/>
      <c r="E64" s="723"/>
      <c r="F64" s="723"/>
      <c r="G64" s="723"/>
      <c r="H64" s="370"/>
      <c r="I64" s="374" t="str">
        <f>T(LEFT('1. General Data'!E25,3))</f>
        <v>2.1</v>
      </c>
      <c r="K64" s="179" t="str">
        <f>IF(L64&gt;=2,A64,L64)</f>
        <v>Component specific indicators</v>
      </c>
      <c r="L64" s="179">
        <f>SUM(L65:L99)</f>
        <v>8</v>
      </c>
    </row>
    <row r="65" spans="1:33" ht="25.5" x14ac:dyDescent="0.2">
      <c r="A65" s="181" t="s">
        <v>469</v>
      </c>
      <c r="B65" s="181" t="str">
        <f>IF(ISERROR(INDEX(B$139:B$242,$I65,1)),"",INDEX(B$139:B$242,$I65,1))</f>
        <v>output</v>
      </c>
      <c r="C65" s="97" t="str">
        <f>IF(HLOOKUP($I$64,A$140:AF$164,8,FALSE)=0,"",HLOOKUP($I$64,A$140:AF$164,8,FALSE))</f>
        <v>Length of bicycle path paved (and designated) newly</v>
      </c>
      <c r="D65" s="181" t="str">
        <f>IF(ISERROR(INDEX(D$139:D$242,$I65,1)),"",INDEX(D$139:D$242,$I65,1))</f>
        <v>km</v>
      </c>
      <c r="E65" s="200">
        <v>0</v>
      </c>
      <c r="F65" s="200">
        <v>0.61399999999999999</v>
      </c>
      <c r="G65" s="538" t="s">
        <v>1071</v>
      </c>
      <c r="H65" s="492" t="s">
        <v>651</v>
      </c>
      <c r="I65" s="176">
        <f>IF(ISERROR(MATCH(C65,C$139:C$242,0)),"",MATCH(C65,C$139:C$242,0))</f>
        <v>9</v>
      </c>
      <c r="J65" s="179">
        <f>IF(OR(M65="",M65="-",M65=0),0,IF(AND(E65&lt;&gt;"",F65&lt;&gt;"",G65&lt;&gt;""),0,C65))</f>
        <v>0</v>
      </c>
      <c r="K65" s="4"/>
      <c r="L65" s="179">
        <f>IF(AND(E65&lt;&gt;"",F65&lt;&gt;"",C65&lt;&gt;"",G65&lt;&gt;"",(F65-E65)&gt;0),1,0)</f>
        <v>1</v>
      </c>
      <c r="M65" s="179">
        <f>IF(ISERROR(INDEX(H$139:H$164,$I65,1)),"",INDEX(H$139:H$164,$I65,1))</f>
        <v>0</v>
      </c>
      <c r="AG65" s="224" t="s">
        <v>648</v>
      </c>
    </row>
    <row r="66" spans="1:33" ht="3" customHeight="1" x14ac:dyDescent="0.2">
      <c r="A66" s="117"/>
      <c r="B66" s="109"/>
      <c r="C66" s="109"/>
      <c r="D66" s="109"/>
      <c r="E66" s="325">
        <v>0</v>
      </c>
      <c r="F66" s="325"/>
      <c r="G66" s="109"/>
      <c r="H66" s="372"/>
      <c r="I66" s="176"/>
    </row>
    <row r="67" spans="1:33" ht="63.75" x14ac:dyDescent="0.2">
      <c r="A67" s="181" t="s">
        <v>470</v>
      </c>
      <c r="B67" s="181" t="str">
        <f>IF(ISERROR(INDEX(B$139:B$242,$I67,1)),"",INDEX(B$139:B$242,$I67,1))</f>
        <v>output</v>
      </c>
      <c r="C67" s="97" t="str">
        <f>IF(HLOOKUP($I$64,A$140:AF$164,9,FALSE)=0,"",HLOOKUP($I$64,A$140:AF$164,9,FALSE))</f>
        <v>Length of existing bicycle paths designated by signs</v>
      </c>
      <c r="D67" s="181" t="str">
        <f>IF(ISERROR(INDEX(D$139:D$242,$I67,1)),"",INDEX(D$139:D$242,$I67,1))</f>
        <v>km</v>
      </c>
      <c r="E67" s="200">
        <v>0</v>
      </c>
      <c r="F67" s="200">
        <f>36+35+42</f>
        <v>113</v>
      </c>
      <c r="G67" s="538" t="s">
        <v>967</v>
      </c>
      <c r="H67" s="492" t="s">
        <v>651</v>
      </c>
      <c r="I67" s="176">
        <f>IF(ISERROR(MATCH(C67,C$139:C$242,0)),"",MATCH(C67,C$139:C$242,0))</f>
        <v>10</v>
      </c>
      <c r="J67" s="179">
        <f>IF(OR(M67="",M67="-",M67=0),0,IF(AND(E67&lt;&gt;"",F67&lt;&gt;"",G67&lt;&gt;""),0,C67))</f>
        <v>0</v>
      </c>
      <c r="K67" s="4"/>
      <c r="L67" s="179">
        <f>IF(AND(E67&lt;&gt;"",F67&lt;&gt;"",C67&lt;&gt;"",G67&lt;&gt;"",(F67-E67)&gt;0),1,0)</f>
        <v>1</v>
      </c>
      <c r="M67" s="179">
        <f>IF(ISERROR(INDEX(H$139:H$164,$I67,1)),"",INDEX(H$139:H$164,$I67,1))</f>
        <v>0</v>
      </c>
    </row>
    <row r="68" spans="1:33" ht="3" customHeight="1" x14ac:dyDescent="0.2">
      <c r="A68" s="117"/>
      <c r="B68" s="109"/>
      <c r="C68" s="109"/>
      <c r="D68" s="109"/>
      <c r="E68" s="325"/>
      <c r="F68" s="325"/>
      <c r="G68" s="109"/>
      <c r="H68" s="372"/>
      <c r="I68" s="176"/>
    </row>
    <row r="69" spans="1:33" ht="25.5" x14ac:dyDescent="0.2">
      <c r="A69" s="181" t="s">
        <v>471</v>
      </c>
      <c r="B69" s="181" t="str">
        <f>IF(ISERROR(INDEX(B$139:B$242,$I69,1)),"",INDEX(B$139:B$242,$I69,1))</f>
        <v>output</v>
      </c>
      <c r="C69" s="97" t="str">
        <f>IF(HLOOKUP($I$64,A$140:AF$164,10,FALSE)=0,"",HLOOKUP($I$64,A$140:AF$164,10,FALSE))</f>
        <v>Length of developed sections of the European bicycle rout network (EuroVelo 6 and EroVelo 13)</v>
      </c>
      <c r="D69" s="181" t="str">
        <f>IF(ISERROR(INDEX(D$139:D$242,$I69,1)),"",INDEX(D$139:D$242,$I69,1))</f>
        <v>km</v>
      </c>
      <c r="E69" s="200"/>
      <c r="F69" s="200"/>
      <c r="G69" s="127"/>
      <c r="H69" s="492" t="s">
        <v>651</v>
      </c>
      <c r="I69" s="176">
        <f>IF(ISERROR(MATCH(C69,C$139:C$242,0)),"",MATCH(C69,C$139:C$242,0))</f>
        <v>11</v>
      </c>
      <c r="J69" s="179">
        <f>IF(OR(M69="",M69="-",M69=0),0,IF(AND(E69&lt;&gt;"",F69&lt;&gt;"",G69&lt;&gt;""),0,C69))</f>
        <v>0</v>
      </c>
      <c r="K69" s="4"/>
      <c r="L69" s="179">
        <f>IF(AND(E69&lt;&gt;"",F69&lt;&gt;"",C69&lt;&gt;"",G69&lt;&gt;"",(F69-E69)&gt;0),1,0)</f>
        <v>0</v>
      </c>
      <c r="M69" s="179">
        <f>IF(ISERROR(INDEX(H$139:H$164,$I69,1)),"",INDEX(H$139:H$164,$I69,1))</f>
        <v>0</v>
      </c>
    </row>
    <row r="70" spans="1:33" ht="3" customHeight="1" x14ac:dyDescent="0.2">
      <c r="A70" s="117"/>
      <c r="B70" s="109"/>
      <c r="C70" s="109"/>
      <c r="D70" s="109"/>
      <c r="E70" s="325"/>
      <c r="F70" s="325"/>
      <c r="G70" s="109"/>
      <c r="H70" s="372"/>
      <c r="I70" s="176"/>
    </row>
    <row r="71" spans="1:33" ht="38.25" x14ac:dyDescent="0.2">
      <c r="A71" s="181" t="s">
        <v>472</v>
      </c>
      <c r="B71" s="181" t="str">
        <f>IF(ISERROR(INDEX(B$139:B$242,$I71,1)),"",INDEX(B$139:B$242,$I71,1))</f>
        <v>output</v>
      </c>
      <c r="C71" s="97" t="str">
        <f>IF(HLOOKUP($I$64,A$140:AF$164,11,FALSE)=0,"",HLOOKUP($I$64,A$140:AF$164,11,FALSE))</f>
        <v>New or improved connections to the European bicycle rout network (EuroVelo 6 and EroVelo 13)</v>
      </c>
      <c r="D71" s="181" t="str">
        <f>IF(ISERROR(INDEX(D$139:D$242,$I71,1)),"",INDEX(D$139:D$242,$I71,1))</f>
        <v>pcs</v>
      </c>
      <c r="E71" s="200">
        <v>0</v>
      </c>
      <c r="F71" s="200">
        <v>2</v>
      </c>
      <c r="G71" s="518" t="s">
        <v>750</v>
      </c>
      <c r="H71" s="492" t="s">
        <v>651</v>
      </c>
      <c r="I71" s="176">
        <f>IF(ISERROR(MATCH(C71,C$139:C$242,0)),"",MATCH(C71,C$139:C$242,0))</f>
        <v>12</v>
      </c>
      <c r="J71" s="179">
        <f>IF(OR(M71="",M71="-",M71=0),0,IF(AND(E71&lt;&gt;"",F71&lt;&gt;"",G71&lt;&gt;""),0,C71))</f>
        <v>0</v>
      </c>
      <c r="K71" s="4"/>
      <c r="L71" s="179">
        <f>IF(AND(E71&lt;&gt;"",F71&lt;&gt;"",C71&lt;&gt;"",G71&lt;&gt;"",(F71-E71)&gt;0),1,0)</f>
        <v>1</v>
      </c>
      <c r="M71" s="179">
        <f>IF(ISERROR(INDEX(H$139:H$164,$I71,1)),"",INDEX(H$139:H$164,$I71,1))</f>
        <v>0</v>
      </c>
    </row>
    <row r="72" spans="1:33" ht="3" customHeight="1" x14ac:dyDescent="0.2">
      <c r="A72" s="117"/>
      <c r="B72" s="109"/>
      <c r="C72" s="109"/>
      <c r="D72" s="109"/>
      <c r="E72" s="325"/>
      <c r="F72" s="325"/>
      <c r="G72" s="109"/>
      <c r="H72" s="372"/>
      <c r="I72" s="176"/>
    </row>
    <row r="73" spans="1:33" ht="25.5" x14ac:dyDescent="0.2">
      <c r="A73" s="181" t="s">
        <v>473</v>
      </c>
      <c r="B73" s="181" t="str">
        <f>IF(ISERROR(INDEX(B$139:B$242,$I73,1)),"",INDEX(B$139:B$242,$I73,1))</f>
        <v>output</v>
      </c>
      <c r="C73" s="97" t="str">
        <f>IF(HLOOKUP($I$64,A$140:AF$164,12,FALSE)=0,"",HLOOKUP($I$64,A$140:AF$164,12,FALSE))</f>
        <v>Number of touristic attractions made accessible by the project</v>
      </c>
      <c r="D73" s="181" t="str">
        <f>IF(ISERROR(INDEX(D$139:D$242,$I73,1)),"",INDEX(D$139:D$242,$I73,1))</f>
        <v>pcs</v>
      </c>
      <c r="E73" s="200">
        <v>0</v>
      </c>
      <c r="F73" s="200">
        <v>54</v>
      </c>
      <c r="G73" s="518" t="s">
        <v>1041</v>
      </c>
      <c r="H73" s="492" t="s">
        <v>651</v>
      </c>
      <c r="I73" s="176">
        <f>IF(ISERROR(MATCH(C73,C$139:C$242,0)),"",MATCH(C73,C$139:C$242,0))</f>
        <v>13</v>
      </c>
      <c r="J73" s="179">
        <f>IF(OR(M73="",M73="-",M73=0),0,IF(AND(E73&lt;&gt;"",F73&lt;&gt;"",G73&lt;&gt;""),0,C73))</f>
        <v>0</v>
      </c>
      <c r="K73" s="4"/>
      <c r="L73" s="179">
        <f>IF(AND(E73&lt;&gt;"",F73&lt;&gt;"",C73&lt;&gt;"",G73&lt;&gt;"",(F73-E73)&gt;0),1,0)</f>
        <v>1</v>
      </c>
      <c r="M73" s="179">
        <f>IF(ISERROR(INDEX(H$139:H$164,$I73,1)),"",INDEX(H$139:H$164,$I73,1))</f>
        <v>0</v>
      </c>
    </row>
    <row r="74" spans="1:33" ht="3" customHeight="1" x14ac:dyDescent="0.2">
      <c r="A74" s="117"/>
      <c r="B74" s="109"/>
      <c r="C74" s="109"/>
      <c r="D74" s="109"/>
      <c r="E74" s="325"/>
      <c r="F74" s="325"/>
      <c r="G74" s="109"/>
      <c r="H74" s="372"/>
      <c r="I74" s="176"/>
    </row>
    <row r="75" spans="1:33" ht="63.75" x14ac:dyDescent="0.2">
      <c r="A75" s="181" t="s">
        <v>474</v>
      </c>
      <c r="B75" s="181" t="str">
        <f>IF(ISERROR(INDEX(B$139:B$242,$I75,1)),"",INDEX(B$139:B$242,$I75,1))</f>
        <v>output</v>
      </c>
      <c r="C75" s="97" t="str">
        <f>IF(HLOOKUP($I$64,A$140:AF$164,13,FALSE)=0,"",HLOOKUP($I$64,A$140:AF$164,13,FALSE))</f>
        <v>Number of visitor centres / information points newly established or developed by the project</v>
      </c>
      <c r="D75" s="181" t="str">
        <f>IF(ISERROR(INDEX(D$139:D$242,$I75,1)),"",INDEX(D$139:D$242,$I75,1))</f>
        <v>pcs</v>
      </c>
      <c r="E75" s="200">
        <v>0</v>
      </c>
      <c r="F75" s="200">
        <v>14</v>
      </c>
      <c r="G75" s="518" t="s">
        <v>968</v>
      </c>
      <c r="H75" s="492" t="s">
        <v>651</v>
      </c>
      <c r="I75" s="176">
        <f>IF(ISERROR(MATCH(C75,C$139:C$242,0)),"",MATCH(C75,C$139:C$242,0))</f>
        <v>14</v>
      </c>
      <c r="J75" s="179">
        <f>IF(OR(M75="",M75="-",M75=0),0,IF(AND(E75&lt;&gt;"",F75&lt;&gt;"",G75&lt;&gt;""),0,C75))</f>
        <v>0</v>
      </c>
      <c r="K75" s="4"/>
      <c r="L75" s="179">
        <f>IF(AND(E75&lt;&gt;"",F75&lt;&gt;"",C75&lt;&gt;"",G75&lt;&gt;"",(F75-E75)&gt;0),1,0)</f>
        <v>1</v>
      </c>
      <c r="M75" s="179">
        <f>IF(ISERROR(INDEX(H$139:H$164,$I75,1)),"",INDEX(H$139:H$164,$I75,1))</f>
        <v>0</v>
      </c>
    </row>
    <row r="76" spans="1:33" ht="3" customHeight="1" x14ac:dyDescent="0.2">
      <c r="A76" s="117"/>
      <c r="B76" s="109"/>
      <c r="C76" s="109"/>
      <c r="D76" s="109"/>
      <c r="E76" s="325"/>
      <c r="F76" s="325"/>
      <c r="G76" s="109"/>
      <c r="H76" s="372"/>
      <c r="I76" s="176"/>
    </row>
    <row r="77" spans="1:33" ht="25.5" x14ac:dyDescent="0.2">
      <c r="A77" s="181" t="s">
        <v>475</v>
      </c>
      <c r="B77" s="181" t="str">
        <f>IF(ISERROR(INDEX(B$139:B$242,$I77,1)),"",INDEX(B$139:B$242,$I77,1))</f>
        <v>output</v>
      </c>
      <c r="C77" s="97" t="str">
        <f>IF(HLOOKUP($I$64,A$140:AF$164,14,FALSE)=0,"",HLOOKUP($I$64,A$140:AF$164,14,FALSE))</f>
        <v>Number of newly established/renovated tourist attractions, sites</v>
      </c>
      <c r="D77" s="181" t="str">
        <f>IF(ISERROR(INDEX(D$139:D$242,$I77,1)),"",INDEX(D$139:D$242,$I77,1))</f>
        <v>pcs</v>
      </c>
      <c r="E77" s="200"/>
      <c r="F77" s="200"/>
      <c r="G77" s="518"/>
      <c r="H77" s="492" t="s">
        <v>651</v>
      </c>
      <c r="I77" s="176">
        <f>IF(ISERROR(MATCH(C77,C$139:C$242,0)),"",MATCH(C77,C$139:C$242,0))</f>
        <v>15</v>
      </c>
      <c r="J77" s="179">
        <f>IF(OR(M77="",M77="-",M77=0),0,IF(AND(E77&lt;&gt;"",F77&lt;&gt;"",G77&lt;&gt;""),0,C77))</f>
        <v>0</v>
      </c>
      <c r="K77" s="4"/>
      <c r="L77" s="179">
        <f>IF(AND(E77&lt;&gt;"",F77&lt;&gt;"",C77&lt;&gt;"",G77&lt;&gt;"",(F77-E77)&gt;0),1,0)</f>
        <v>0</v>
      </c>
      <c r="M77" s="179">
        <f>IF(ISERROR(INDEX(H$139:H$164,$I77,1)),"",INDEX(H$139:H$164,$I77,1))</f>
        <v>0</v>
      </c>
      <c r="AG77" s="224" t="s">
        <v>648</v>
      </c>
    </row>
    <row r="78" spans="1:33" ht="3" customHeight="1" x14ac:dyDescent="0.2">
      <c r="A78" s="117"/>
      <c r="B78" s="109"/>
      <c r="C78" s="109"/>
      <c r="D78" s="109"/>
      <c r="E78" s="325"/>
      <c r="F78" s="325"/>
      <c r="G78" s="109"/>
      <c r="H78" s="372"/>
      <c r="I78" s="176"/>
    </row>
    <row r="79" spans="1:33" ht="76.5" x14ac:dyDescent="0.2">
      <c r="A79" s="181" t="s">
        <v>476</v>
      </c>
      <c r="B79" s="181" t="str">
        <f>IF(ISERROR(INDEX(B$139:B$242,$I79,1)),"",INDEX(B$139:B$242,$I79,1))</f>
        <v>output</v>
      </c>
      <c r="C79" s="97" t="str">
        <f>IF(HLOOKUP($I$64,A$140:AF$164,15,FALSE)=0,"",HLOOKUP($I$64,A$140:AF$164,15,FALSE))</f>
        <v>Number of thematic routes in the project</v>
      </c>
      <c r="D79" s="181" t="str">
        <f>IF(ISERROR(INDEX(D$139:D$242,$I79,1)),"",INDEX(D$139:D$242,$I79,1))</f>
        <v>pcs</v>
      </c>
      <c r="E79" s="200">
        <v>0</v>
      </c>
      <c r="F79" s="200">
        <v>3</v>
      </c>
      <c r="G79" s="518" t="s">
        <v>969</v>
      </c>
      <c r="H79" s="492" t="s">
        <v>651</v>
      </c>
      <c r="I79" s="176">
        <f>IF(ISERROR(MATCH(C79,C$139:C$242,0)),"",MATCH(C79,C$139:C$242,0))</f>
        <v>16</v>
      </c>
      <c r="J79" s="179">
        <f>IF(OR(M79="",M79="-",M79=0),0,IF(AND(E79&lt;&gt;"",F79&lt;&gt;"",G79&lt;&gt;""),0,C79))</f>
        <v>0</v>
      </c>
      <c r="K79" s="4"/>
      <c r="L79" s="179">
        <f>IF(AND(E79&lt;&gt;"",F79&lt;&gt;"",C79&lt;&gt;"",G79&lt;&gt;"",(F79-E79)&gt;0),1,0)</f>
        <v>1</v>
      </c>
      <c r="M79" s="179">
        <f>IF(ISERROR(INDEX(H$139:H$164,$I79,1)),"",INDEX(H$139:H$164,$I79,1))</f>
        <v>0</v>
      </c>
    </row>
    <row r="80" spans="1:33" ht="3" customHeight="1" x14ac:dyDescent="0.2">
      <c r="A80" s="117"/>
      <c r="B80" s="109"/>
      <c r="C80" s="109"/>
      <c r="D80" s="109"/>
      <c r="E80" s="325"/>
      <c r="F80" s="325"/>
      <c r="G80" s="109"/>
      <c r="H80" s="372"/>
      <c r="I80" s="176"/>
    </row>
    <row r="81" spans="1:13" ht="38.25" x14ac:dyDescent="0.2">
      <c r="A81" s="181" t="s">
        <v>477</v>
      </c>
      <c r="B81" s="181" t="str">
        <f>IF(ISERROR(INDEX(B$139:B$242,$I81,1)),"",INDEX(B$139:B$242,$I81,1))</f>
        <v>output</v>
      </c>
      <c r="C81" s="97" t="str">
        <f>IF(HLOOKUP($I$64,A$140:AF$164,16,FALSE)=0,"",HLOOKUP($I$64,A$140:AF$164,16,FALSE))</f>
        <v>Length of thematic routes newly established/developed by the project (e.g.: bike, greenways, hiking paths, pilgrim, gastro, wine, equestrian etc.)</v>
      </c>
      <c r="D81" s="181" t="str">
        <f>IF(ISERROR(INDEX(D$139:D$242,$I81,1)),"",INDEX(D$139:D$242,$I81,1))</f>
        <v>km</v>
      </c>
      <c r="E81" s="200"/>
      <c r="F81" s="200"/>
      <c r="G81" s="127"/>
      <c r="H81" s="492" t="s">
        <v>651</v>
      </c>
      <c r="I81" s="176">
        <f>IF(ISERROR(MATCH(C81,C$139:C$242,0)),"",MATCH(C81,C$139:C$242,0))</f>
        <v>17</v>
      </c>
      <c r="J81" s="179">
        <f>IF(OR(M81="",M81="-",M81=0),0,IF(AND(E81&lt;&gt;"",F81&lt;&gt;"",G81&lt;&gt;""),0,C81))</f>
        <v>0</v>
      </c>
      <c r="K81" s="4"/>
      <c r="L81" s="179">
        <f>IF(AND(E81&lt;&gt;"",F81&lt;&gt;"",C81&lt;&gt;"",G81&lt;&gt;"",(F81-E81)&gt;0),1,0)</f>
        <v>0</v>
      </c>
      <c r="M81" s="179">
        <f>IF(ISERROR(INDEX(H$139:H$164,$I81,1)),"",INDEX(H$139:H$164,$I81,1))</f>
        <v>0</v>
      </c>
    </row>
    <row r="82" spans="1:13" ht="3" customHeight="1" x14ac:dyDescent="0.2">
      <c r="A82" s="447"/>
      <c r="B82" s="109"/>
      <c r="C82" s="109"/>
      <c r="D82" s="109"/>
      <c r="E82" s="325"/>
      <c r="F82" s="325"/>
      <c r="G82" s="109"/>
      <c r="H82" s="372"/>
      <c r="I82" s="176"/>
    </row>
    <row r="83" spans="1:13" ht="25.5" x14ac:dyDescent="0.2">
      <c r="A83" s="181" t="s">
        <v>478</v>
      </c>
      <c r="B83" s="181" t="str">
        <f>IF(ISERROR(INDEX(B$139:B$242,$I83,1)),"",INDEX(B$139:B$242,$I83,1))</f>
        <v>output</v>
      </c>
      <c r="C83" s="97" t="str">
        <f>IF(HLOOKUP($I$64,A$140:AF$164,17,FALSE)=0,"",HLOOKUP($I$64,A$140:AF$164,17,FALSE))</f>
        <v>Size of refurbished cultural / natural heritage site(s)</v>
      </c>
      <c r="D83" s="181" t="str">
        <f>IF(ISERROR(INDEX(D$139:D$242,$I83,1)),"",INDEX(D$139:D$242,$I83,1))</f>
        <v>ha</v>
      </c>
      <c r="E83" s="200"/>
      <c r="F83" s="200"/>
      <c r="G83" s="127"/>
      <c r="H83" s="492" t="s">
        <v>651</v>
      </c>
      <c r="I83" s="176">
        <f>IF(ISERROR(MATCH(C83,C$139:C$242,0)),"",MATCH(C83,C$139:C$242,0))</f>
        <v>18</v>
      </c>
      <c r="J83" s="179">
        <f>IF(OR(M83="",M83="-",M83=0),0,IF(AND(E83&lt;&gt;"",F83&lt;&gt;"",G83&lt;&gt;""),0,C83))</f>
        <v>0</v>
      </c>
      <c r="K83" s="4"/>
      <c r="L83" s="179">
        <f>IF(AND(E83&lt;&gt;"",F83&lt;&gt;"",C83&lt;&gt;"",G83&lt;&gt;"",(F83-E83)&gt;0),1,0)</f>
        <v>0</v>
      </c>
      <c r="M83" s="179">
        <f>IF(ISERROR(INDEX(H$139:H$164,$I83,1)),"",INDEX(H$139:H$164,$I83,1))</f>
        <v>0</v>
      </c>
    </row>
    <row r="84" spans="1:13" ht="3" customHeight="1" x14ac:dyDescent="0.2">
      <c r="A84" s="117"/>
      <c r="B84" s="109"/>
      <c r="C84" s="109"/>
      <c r="D84" s="109"/>
      <c r="E84" s="325"/>
      <c r="F84" s="325"/>
      <c r="G84" s="109"/>
      <c r="H84" s="372"/>
      <c r="I84" s="176"/>
    </row>
    <row r="85" spans="1:13" ht="51" x14ac:dyDescent="0.2">
      <c r="A85" s="181" t="s">
        <v>479</v>
      </c>
      <c r="B85" s="181" t="str">
        <f>IF(ISERROR(INDEX(B$139:B$242,$I85,1)),"",INDEX(B$139:B$242,$I85,1))</f>
        <v>output</v>
      </c>
      <c r="C85" s="97" t="str">
        <f>IF(HLOOKUP($I$64,A$140:AF$164,18,FALSE)=0,"",HLOOKUP($I$64,A$140:AF$164,18,FALSE))</f>
        <v>Number of information boards, interactive panels set up by the project</v>
      </c>
      <c r="D85" s="181" t="str">
        <f>IF(ISERROR(INDEX(D$139:D$242,$I85,1)),"",INDEX(D$139:D$242,$I85,1))</f>
        <v>pcs</v>
      </c>
      <c r="E85" s="200">
        <v>0</v>
      </c>
      <c r="F85" s="200">
        <v>13</v>
      </c>
      <c r="G85" s="518" t="s">
        <v>970</v>
      </c>
      <c r="H85" s="492" t="s">
        <v>651</v>
      </c>
      <c r="I85" s="176">
        <f>IF(ISERROR(MATCH(C85,C$139:C$242,0)),"",MATCH(C85,C$139:C$242,0))</f>
        <v>19</v>
      </c>
      <c r="J85" s="179">
        <f>IF(OR(M85="",M85="-",M85=0),0,IF(AND(E85&lt;&gt;"",F85&lt;&gt;"",G85&lt;&gt;""),0,C85))</f>
        <v>0</v>
      </c>
      <c r="L85" s="179">
        <f>IF(AND(E85&lt;&gt;"",F85&lt;&gt;"",C85&lt;&gt;"",G85&lt;&gt;"",(F85-E85)&gt;0),1,0)</f>
        <v>1</v>
      </c>
      <c r="M85" s="179">
        <f>IF(ISERROR(INDEX(H$139:H$164,$I85,1)),"",INDEX(H$139:H$164,$I85,1))</f>
        <v>0</v>
      </c>
    </row>
    <row r="86" spans="1:13" ht="3" customHeight="1" x14ac:dyDescent="0.2">
      <c r="A86" s="117"/>
      <c r="B86" s="109"/>
      <c r="C86" s="109"/>
      <c r="D86" s="109"/>
      <c r="E86" s="325"/>
      <c r="F86" s="325"/>
      <c r="G86" s="109"/>
      <c r="H86" s="372"/>
      <c r="I86" s="176"/>
    </row>
    <row r="87" spans="1:13" ht="25.5" x14ac:dyDescent="0.2">
      <c r="A87" s="181" t="s">
        <v>480</v>
      </c>
      <c r="B87" s="181" t="str">
        <f>IF(ISERROR(INDEX(B$139:B$242,$I87,1)),"",INDEX(B$139:B$242,$I87,1))</f>
        <v>output</v>
      </c>
      <c r="C87" s="97" t="str">
        <f>IF(HLOOKUP($I$64,A$140:AF$164,19,FALSE)=0,"",HLOOKUP($I$64,A$140:AF$164,19,FALSE))</f>
        <v>Number of new/developed cultural events in the project</v>
      </c>
      <c r="D87" s="181" t="str">
        <f>IF(ISERROR(INDEX(D$139:D$242,$I87,1)),"",INDEX(D$139:D$242,$I87,1))</f>
        <v>pcs</v>
      </c>
      <c r="E87" s="200"/>
      <c r="F87" s="200"/>
      <c r="G87" s="127"/>
      <c r="H87" s="492" t="s">
        <v>651</v>
      </c>
      <c r="I87" s="176">
        <f>IF(ISERROR(MATCH(C87,C$139:C$242,0)),"",MATCH(C87,C$139:C$242,0))</f>
        <v>20</v>
      </c>
      <c r="J87" s="179">
        <f>IF(OR(M87="",M87="-",M87=0),0,IF(AND(E87&lt;&gt;"",F87&lt;&gt;"",G87&lt;&gt;""),0,C87))</f>
        <v>0</v>
      </c>
      <c r="L87" s="179">
        <f>IF(AND(E87&lt;&gt;"",F87&lt;&gt;"",C87&lt;&gt;"",G87&lt;&gt;"",(F87-E87)&gt;0),1,0)</f>
        <v>0</v>
      </c>
      <c r="M87" s="179">
        <f>IF(ISERROR(INDEX(H$139:H$164,$I87,1)),"",INDEX(H$139:H$164,$I87,1))</f>
        <v>0</v>
      </c>
    </row>
    <row r="88" spans="1:13" ht="3" customHeight="1" x14ac:dyDescent="0.2">
      <c r="A88" s="117"/>
      <c r="B88" s="109"/>
      <c r="C88" s="109"/>
      <c r="D88" s="109"/>
      <c r="E88" s="325"/>
      <c r="F88" s="325"/>
      <c r="G88" s="109"/>
      <c r="H88" s="372"/>
      <c r="I88" s="176"/>
    </row>
    <row r="89" spans="1:13" ht="102" x14ac:dyDescent="0.2">
      <c r="A89" s="181" t="s">
        <v>481</v>
      </c>
      <c r="B89" s="181" t="str">
        <f>IF(ISERROR(INDEX(B$139:B$242,$I89,1)),"",INDEX(B$139:B$242,$I89,1))</f>
        <v>output</v>
      </c>
      <c r="C89" s="97" t="str">
        <f>IF(HLOOKUP($I$64,A$140:AF$164,20,FALSE)=0,"",HLOOKUP($I$64,A$140:AF$164,20,FALSE))</f>
        <v>Number of locations where new/developed cycling tourism services are to be established</v>
      </c>
      <c r="D89" s="181" t="str">
        <f>IF(ISERROR(INDEX(D$139:D$242,$I89,1)),"",INDEX(D$139:D$242,$I89,1))</f>
        <v>pcs</v>
      </c>
      <c r="E89" s="200">
        <v>0</v>
      </c>
      <c r="F89" s="200">
        <v>11</v>
      </c>
      <c r="G89" s="518" t="s">
        <v>1042</v>
      </c>
      <c r="H89" s="492" t="s">
        <v>651</v>
      </c>
      <c r="I89" s="176">
        <f>IF(ISERROR(MATCH(C89,C$139:C$242,0)),"",MATCH(C89,C$139:C$242,0))</f>
        <v>21</v>
      </c>
      <c r="J89" s="179">
        <f>IF(OR(M89="",M89="-",M89=0),0,IF(AND(E89&lt;&gt;"",F89&lt;&gt;"",G89&lt;&gt;""),0,C89))</f>
        <v>0</v>
      </c>
      <c r="L89" s="179">
        <f>IF(AND(E89&lt;&gt;"",F89&lt;&gt;"",C89&lt;&gt;"",G89&lt;&gt;"",(F89-E89)&gt;0),1,0)</f>
        <v>1</v>
      </c>
      <c r="M89" s="179">
        <f>IF(ISERROR(INDEX(H$139:H$164,$I89,1)),"",INDEX(H$139:H$164,$I89,1))</f>
        <v>0</v>
      </c>
    </row>
    <row r="90" spans="1:13" ht="3" customHeight="1" x14ac:dyDescent="0.2">
      <c r="A90" s="117"/>
      <c r="B90" s="109"/>
      <c r="C90" s="109"/>
      <c r="D90" s="109"/>
      <c r="E90" s="325"/>
      <c r="F90" s="325"/>
      <c r="G90" s="109"/>
      <c r="H90" s="372"/>
      <c r="I90" s="176"/>
    </row>
    <row r="91" spans="1:13" ht="25.5" x14ac:dyDescent="0.2">
      <c r="A91" s="181" t="s">
        <v>482</v>
      </c>
      <c r="B91" s="181" t="str">
        <f>IF(ISERROR(INDEX(B$139:B$242,$I91,1)),"",INDEX(B$139:B$242,$I91,1))</f>
        <v>output</v>
      </c>
      <c r="C91" s="97" t="str">
        <f>IF(HLOOKUP($I$64,A$140:AF$164,21,FALSE)=0,"",HLOOKUP($I$64,A$140:AF$164,21,FALSE))</f>
        <v>Number of trainings to promote environmental consciousness of visitors and/or local tourism service providers</v>
      </c>
      <c r="D91" s="181" t="str">
        <f>IF(ISERROR(INDEX(D$139:D$242,$I91,1)),"",INDEX(D$139:D$242,$I91,1))</f>
        <v>pcs</v>
      </c>
      <c r="E91" s="200"/>
      <c r="F91" s="200"/>
      <c r="G91" s="127"/>
      <c r="H91" s="492" t="s">
        <v>651</v>
      </c>
      <c r="I91" s="176">
        <f>IF(ISERROR(MATCH(C91,C$139:C$242,0)),"",MATCH(C91,C$139:C$242,0))</f>
        <v>22</v>
      </c>
      <c r="J91" s="179">
        <f>IF(OR(M91="",M91="-",M91=0),0,IF(AND(E91&lt;&gt;"",F91&lt;&gt;"",G91&lt;&gt;""),0,C91))</f>
        <v>0</v>
      </c>
      <c r="L91" s="179">
        <f>IF(AND(E91&lt;&gt;"",F91&lt;&gt;"",C91&lt;&gt;"",G91&lt;&gt;"",(F91-E91)&gt;0),1,0)</f>
        <v>0</v>
      </c>
      <c r="M91" s="179">
        <f>IF(ISERROR(INDEX(H$139:H$164,$I91,1)),"",INDEX(H$139:H$164,$I91,1))</f>
        <v>0</v>
      </c>
    </row>
    <row r="92" spans="1:13" ht="3" customHeight="1" x14ac:dyDescent="0.2">
      <c r="A92" s="117"/>
      <c r="B92" s="109"/>
      <c r="C92" s="109"/>
      <c r="D92" s="109"/>
      <c r="E92" s="325"/>
      <c r="F92" s="325"/>
      <c r="G92" s="109"/>
      <c r="H92" s="372"/>
      <c r="I92" s="176"/>
    </row>
    <row r="93" spans="1:13" ht="25.5" x14ac:dyDescent="0.2">
      <c r="A93" s="181" t="s">
        <v>483</v>
      </c>
      <c r="B93" s="181" t="str">
        <f>IF(ISERROR(INDEX(B$139:B$242,$I93,1)),"",INDEX(B$139:B$242,$I93,1))</f>
        <v>output</v>
      </c>
      <c r="C93" s="97" t="str">
        <f>IF(HLOOKUP($I$64,A$140:AF$164,22,FALSE)=0,"",HLOOKUP($I$64,A$140:AF$164,22,FALSE))</f>
        <v>Volume of eliminated illegal landfills (dumped garbage and trash)</v>
      </c>
      <c r="D93" s="181" t="str">
        <f>IF(ISERROR(INDEX(D$139:D$242,$I93,1)),"",INDEX(D$139:D$242,$I93,1))</f>
        <v>m3</v>
      </c>
      <c r="E93" s="200"/>
      <c r="F93" s="200"/>
      <c r="G93" s="127"/>
      <c r="H93" s="492" t="s">
        <v>651</v>
      </c>
      <c r="I93" s="176">
        <f>IF(ISERROR(MATCH(C93,C$139:C$242,0)),"",MATCH(C93,C$139:C$242,0))</f>
        <v>23</v>
      </c>
      <c r="J93" s="179">
        <f>IF(OR(M93="",M93="-",M93=0),0,IF(AND(E93&lt;&gt;"",F93&lt;&gt;"",G93&lt;&gt;""),0,C93))</f>
        <v>0</v>
      </c>
      <c r="L93" s="179">
        <f>IF(AND(E93&lt;&gt;"",F93&lt;&gt;"",C93&lt;&gt;"",G93&lt;&gt;"",(F93-E93)&gt;0),1,0)</f>
        <v>0</v>
      </c>
      <c r="M93" s="179">
        <f>IF(ISERROR(INDEX(H$139:H$164,$I93,1)),"",INDEX(H$139:H$164,$I93,1))</f>
        <v>0</v>
      </c>
    </row>
    <row r="94" spans="1:13" ht="3" customHeight="1" x14ac:dyDescent="0.2">
      <c r="A94" s="117"/>
      <c r="B94" s="109"/>
      <c r="C94" s="109"/>
      <c r="D94" s="109"/>
      <c r="E94" s="325"/>
      <c r="F94" s="325"/>
      <c r="G94" s="109"/>
      <c r="H94" s="372"/>
      <c r="I94" s="176"/>
    </row>
    <row r="95" spans="1:13" ht="25.5" x14ac:dyDescent="0.2">
      <c r="A95" s="181" t="s">
        <v>484</v>
      </c>
      <c r="B95" s="181" t="str">
        <f>IF(ISERROR(INDEX(B$139:B$242,$I95,1)),"",INDEX(B$139:B$242,$I95,1))</f>
        <v>output</v>
      </c>
      <c r="C95" s="97" t="str">
        <f>IF(HLOOKUP($I$64,A$140:AF$164,23,FALSE)=0,"",HLOOKUP($I$64,A$140:AF$164,23,FALSE))</f>
        <v>Size of area where indigenous species are introduced / reintroduced by the project</v>
      </c>
      <c r="D95" s="181" t="str">
        <f>IF(ISERROR(INDEX(D$139:D$242,$I95,1)),"",INDEX(D$139:D$242,$I95,1))</f>
        <v>ha</v>
      </c>
      <c r="E95" s="200"/>
      <c r="F95" s="200"/>
      <c r="G95" s="127"/>
      <c r="H95" s="492" t="s">
        <v>651</v>
      </c>
      <c r="I95" s="176">
        <f>IF(ISERROR(MATCH(C95,C$139:C$242,0)),"",MATCH(C95,C$139:C$242,0))</f>
        <v>24</v>
      </c>
      <c r="J95" s="179">
        <f>IF(OR(M95="",M95="-",M95=0),0,IF(AND(E95&lt;&gt;"",F95&lt;&gt;"",G95&lt;&gt;""),0,C95))</f>
        <v>0</v>
      </c>
      <c r="L95" s="179">
        <f>IF(AND(E95&lt;&gt;"",F95&lt;&gt;"",C95&lt;&gt;"",G95&lt;&gt;"",(F95-E95)&gt;0),1,0)</f>
        <v>0</v>
      </c>
      <c r="M95" s="179">
        <f>IF(ISERROR(INDEX(H$139:H$164,$I95,1)),"",INDEX(H$139:H$164,$I95,1))</f>
        <v>0</v>
      </c>
    </row>
    <row r="96" spans="1:13" ht="3" customHeight="1" x14ac:dyDescent="0.2">
      <c r="A96" s="117"/>
      <c r="B96" s="109"/>
      <c r="C96" s="109"/>
      <c r="D96" s="109"/>
      <c r="E96" s="325"/>
      <c r="F96" s="325"/>
      <c r="G96" s="109"/>
      <c r="H96" s="372"/>
      <c r="I96" s="176"/>
    </row>
    <row r="97" spans="1:32" ht="25.5" x14ac:dyDescent="0.2">
      <c r="A97" s="181" t="s">
        <v>485</v>
      </c>
      <c r="B97" s="181" t="str">
        <f>IF(ISERROR(INDEX(B$139:B$242,$I97,1)),"",INDEX(B$139:B$242,$I97,1))</f>
        <v>output</v>
      </c>
      <c r="C97" s="97" t="str">
        <f>IF(HLOOKUP($I$64,A$140:AF$164,24,FALSE)=0,"",HLOOKUP($I$64,A$140:AF$164,24,FALSE))</f>
        <v>Number of invasive species removed by the project (number of species)</v>
      </c>
      <c r="D97" s="181" t="str">
        <f>IF(ISERROR(INDEX(D$139:D$242,$I97,1)),"",INDEX(D$139:D$242,$I97,1))</f>
        <v>pcs</v>
      </c>
      <c r="E97" s="200"/>
      <c r="F97" s="200"/>
      <c r="G97" s="127"/>
      <c r="H97" s="492" t="s">
        <v>651</v>
      </c>
      <c r="I97" s="176">
        <f>IF(ISERROR(MATCH(C97,C$139:C$242,0)),"",MATCH(C97,C$139:C$242,0))</f>
        <v>25</v>
      </c>
      <c r="J97" s="179">
        <f>IF(OR(M97="",M97="-",M97=0),0,IF(AND(E97&lt;&gt;"",F97&lt;&gt;"",G97&lt;&gt;""),0,C97))</f>
        <v>0</v>
      </c>
      <c r="L97" s="179">
        <f>IF(AND(E97&lt;&gt;"",F97&lt;&gt;"",C97&lt;&gt;"",G97&lt;&gt;"",(F97-E97)&gt;0),1,0)</f>
        <v>0</v>
      </c>
      <c r="M97" s="179">
        <f>IF(ISERROR(INDEX(H$139:H$164,$I97,1)),"",INDEX(H$139:H$164,$I97,1))</f>
        <v>0</v>
      </c>
    </row>
    <row r="98" spans="1:32" ht="3" customHeight="1" x14ac:dyDescent="0.2">
      <c r="A98" s="117"/>
      <c r="B98" s="109"/>
      <c r="C98" s="109"/>
      <c r="D98" s="109"/>
      <c r="E98" s="325"/>
      <c r="F98" s="325"/>
      <c r="G98" s="109"/>
      <c r="H98" s="372"/>
      <c r="I98" s="176"/>
    </row>
    <row r="99" spans="1:32" ht="25.5" x14ac:dyDescent="0.2">
      <c r="A99" s="181" t="s">
        <v>486</v>
      </c>
      <c r="B99" s="181" t="str">
        <f>IF(ISERROR(INDEX(B$139:B$242,$I99,1)),"",INDEX(B$139:B$242,$I99,1))</f>
        <v>output</v>
      </c>
      <c r="C99" s="97" t="str">
        <f>IF(HLOOKUP($I$64,A$140:AF$164,25,FALSE)=0,"",HLOOKUP($I$64,A$140:AF$164,25,FALSE))</f>
        <v>Size of former industrial or agricultural sites transformed into cultural sites by the project</v>
      </c>
      <c r="D99" s="181" t="str">
        <f>IF(ISERROR(INDEX(D$139:D$242,$I99,1)),"",INDEX(D$139:D$242,$I99,1))</f>
        <v>ha</v>
      </c>
      <c r="E99" s="200"/>
      <c r="F99" s="200"/>
      <c r="G99" s="127"/>
      <c r="H99" s="492" t="s">
        <v>651</v>
      </c>
      <c r="I99" s="176">
        <f>IF(ISERROR(MATCH(C99,C$139:C$242,0)),"",MATCH(C99,C$139:C$242,0))</f>
        <v>26</v>
      </c>
      <c r="J99" s="179">
        <f>IF(OR(M99="",M99="-",M99=0),0,IF(AND(E99&lt;&gt;"",F99&lt;&gt;"",G99&lt;&gt;""),0,C99))</f>
        <v>0</v>
      </c>
      <c r="L99" s="179">
        <f>IF(AND(E99&lt;&gt;"",F99&lt;&gt;"",C99&lt;&gt;"",G99&lt;&gt;"",(F99-E99)&gt;0),1,0)</f>
        <v>0</v>
      </c>
      <c r="M99" s="179">
        <f>IF(ISERROR(INDEX(H$139:H$164,$I99,1)),"",INDEX(H$139:H$164,$I99,1))</f>
        <v>0</v>
      </c>
    </row>
    <row r="100" spans="1:32" ht="12.75" customHeight="1" x14ac:dyDescent="0.2">
      <c r="A100" s="723" t="s">
        <v>33</v>
      </c>
      <c r="B100" s="723"/>
      <c r="C100" s="723"/>
      <c r="D100" s="723"/>
      <c r="E100" s="723"/>
      <c r="F100" s="723"/>
      <c r="G100" s="723"/>
      <c r="H100" s="370"/>
      <c r="I100" s="176"/>
      <c r="K100" s="179" t="str">
        <f>IF(L100&gt;=1,A100,L100)</f>
        <v>Project specific indicators</v>
      </c>
      <c r="L100" s="179">
        <f>SUM(L101:L109)</f>
        <v>4</v>
      </c>
    </row>
    <row r="101" spans="1:32" ht="51" x14ac:dyDescent="0.2">
      <c r="A101" s="181" t="s">
        <v>415</v>
      </c>
      <c r="B101" s="518" t="s">
        <v>193</v>
      </c>
      <c r="C101" s="519" t="s">
        <v>971</v>
      </c>
      <c r="D101" s="518" t="s">
        <v>192</v>
      </c>
      <c r="E101" s="200">
        <v>0</v>
      </c>
      <c r="F101" s="200">
        <v>2</v>
      </c>
      <c r="G101" s="518" t="s">
        <v>972</v>
      </c>
      <c r="H101" s="371"/>
      <c r="I101" s="176"/>
      <c r="J101" s="179">
        <f>IF(AND(B101&lt;&gt;"",C101&lt;&gt;"",D101&lt;&gt;"",E101&lt;&gt;"",F101&lt;&gt;"",G101&lt;&gt;""),0,C101)</f>
        <v>0</v>
      </c>
      <c r="L101" s="179">
        <f>IF(AND(G101&lt;&gt;"",E101&lt;&gt;"",F101&lt;&gt;"",C101&lt;&gt;"",(F101-E101)&gt;0,D101&lt;&gt;"",B101&lt;&gt;""),1,0)</f>
        <v>1</v>
      </c>
    </row>
    <row r="102" spans="1:32" ht="3" customHeight="1" x14ac:dyDescent="0.2">
      <c r="A102" s="109"/>
      <c r="B102" s="109"/>
      <c r="C102" s="109"/>
      <c r="D102" s="109"/>
      <c r="E102" s="109"/>
      <c r="F102" s="109"/>
      <c r="G102" s="109"/>
      <c r="H102" s="373"/>
      <c r="I102" s="176"/>
    </row>
    <row r="103" spans="1:32" ht="38.25" x14ac:dyDescent="0.2">
      <c r="A103" s="181" t="s">
        <v>416</v>
      </c>
      <c r="B103" s="518" t="s">
        <v>193</v>
      </c>
      <c r="C103" s="519" t="s">
        <v>754</v>
      </c>
      <c r="D103" s="518" t="s">
        <v>192</v>
      </c>
      <c r="E103" s="200">
        <v>0</v>
      </c>
      <c r="F103" s="200">
        <v>2</v>
      </c>
      <c r="G103" s="518" t="s">
        <v>996</v>
      </c>
      <c r="H103" s="371"/>
      <c r="I103" s="176"/>
      <c r="J103" s="179">
        <f>IF(AND(B103&lt;&gt;"",C103&lt;&gt;"",D103&lt;&gt;"",E103&lt;&gt;"",F103&lt;&gt;"",G103&lt;&gt;""),0,C103)</f>
        <v>0</v>
      </c>
      <c r="L103" s="179">
        <f>IF(AND(E103&lt;&gt;"",F103&lt;&gt;"",C103&lt;&gt;"",(F103-E103)&gt;0,D103&lt;&gt;"",B103&lt;&gt;""),1,0)</f>
        <v>1</v>
      </c>
    </row>
    <row r="104" spans="1:32" ht="3" customHeight="1" x14ac:dyDescent="0.2">
      <c r="A104" s="109"/>
      <c r="B104" s="109"/>
      <c r="C104" s="109"/>
      <c r="D104" s="109"/>
      <c r="E104" s="109"/>
      <c r="F104" s="109"/>
      <c r="G104" s="109"/>
      <c r="H104" s="372"/>
      <c r="I104" s="176"/>
    </row>
    <row r="105" spans="1:32" ht="25.5" x14ac:dyDescent="0.2">
      <c r="A105" s="181" t="s">
        <v>417</v>
      </c>
      <c r="B105" s="518" t="s">
        <v>193</v>
      </c>
      <c r="C105" s="540" t="s">
        <v>997</v>
      </c>
      <c r="D105" s="518" t="s">
        <v>192</v>
      </c>
      <c r="E105" s="200">
        <v>0</v>
      </c>
      <c r="F105" s="200">
        <v>7</v>
      </c>
      <c r="G105" s="518" t="s">
        <v>973</v>
      </c>
      <c r="H105" s="371"/>
      <c r="I105" s="176"/>
      <c r="J105" s="179">
        <f>IF(AND(B105&lt;&gt;"",C105&lt;&gt;"",D105&lt;&gt;"",E105&lt;&gt;"",F105&lt;&gt;"",G105&lt;&gt;""),0,C105)</f>
        <v>0</v>
      </c>
      <c r="L105" s="179">
        <f>IF(AND(E105&lt;&gt;"",F105&lt;&gt;"",C105&lt;&gt;"",(F105-E105)&gt;0,D105&lt;&gt;"",B105&lt;&gt;""),1,0)</f>
        <v>1</v>
      </c>
    </row>
    <row r="106" spans="1:32" ht="3" customHeight="1" x14ac:dyDescent="0.2">
      <c r="A106" s="109"/>
      <c r="B106" s="109"/>
      <c r="C106" s="109"/>
      <c r="D106" s="109"/>
      <c r="E106" s="109"/>
      <c r="F106" s="109"/>
      <c r="G106" s="109"/>
      <c r="H106" s="372"/>
      <c r="I106" s="176"/>
    </row>
    <row r="107" spans="1:32" ht="25.5" x14ac:dyDescent="0.2">
      <c r="A107" s="181" t="s">
        <v>418</v>
      </c>
      <c r="B107" s="518" t="s">
        <v>193</v>
      </c>
      <c r="C107" s="519" t="s">
        <v>1020</v>
      </c>
      <c r="D107" s="518" t="s">
        <v>192</v>
      </c>
      <c r="E107" s="200">
        <v>0</v>
      </c>
      <c r="F107" s="200">
        <v>232</v>
      </c>
      <c r="G107" s="518" t="s">
        <v>1021</v>
      </c>
      <c r="H107" s="371"/>
      <c r="I107" s="176"/>
      <c r="J107" s="179">
        <f>IF(AND(B107&lt;&gt;"",C107&lt;&gt;"",D107&lt;&gt;"",E107&lt;&gt;"",F107&lt;&gt;"",G107&lt;&gt;""),0,C107)</f>
        <v>0</v>
      </c>
      <c r="L107" s="179">
        <f>IF(AND(E107&lt;&gt;"",F107&lt;&gt;"",C107&lt;&gt;"",(F107-E107)&gt;0,D107&lt;&gt;"",B107&lt;&gt;""),1,0)</f>
        <v>1</v>
      </c>
    </row>
    <row r="108" spans="1:32" ht="3" customHeight="1" x14ac:dyDescent="0.2">
      <c r="A108" s="109"/>
      <c r="B108" s="109"/>
      <c r="C108" s="109"/>
      <c r="D108" s="109"/>
      <c r="E108" s="109"/>
      <c r="F108" s="109"/>
      <c r="G108" s="109"/>
      <c r="H108" s="372"/>
      <c r="I108" s="176"/>
    </row>
    <row r="109" spans="1:32" ht="25.5" x14ac:dyDescent="0.2">
      <c r="A109" s="181" t="s">
        <v>419</v>
      </c>
      <c r="B109" s="518" t="s">
        <v>193</v>
      </c>
      <c r="C109" s="519"/>
      <c r="D109" s="518"/>
      <c r="E109" s="200"/>
      <c r="F109" s="200"/>
      <c r="G109" s="127"/>
      <c r="H109" s="371"/>
      <c r="I109" s="176"/>
      <c r="J109" s="179">
        <f>IF(AND(B109&lt;&gt;"",C109&lt;&gt;"",D109&lt;&gt;"",E109&lt;&gt;"",F109&lt;&gt;"",G109&lt;&gt;""),0,C109)</f>
        <v>0</v>
      </c>
      <c r="L109" s="179">
        <f>IF(AND(E109&lt;&gt;"",F109&lt;&gt;"",C109&lt;&gt;"",(F109-E109)&gt;0,D109&lt;&gt;"",B109&lt;&gt;""),1,0)</f>
        <v>0</v>
      </c>
    </row>
    <row r="111" spans="1:32" ht="26.25" hidden="1" thickBot="1" x14ac:dyDescent="0.25">
      <c r="A111" s="415" t="s">
        <v>414</v>
      </c>
      <c r="B111" s="416" t="s">
        <v>58</v>
      </c>
      <c r="C111" s="416" t="s">
        <v>186</v>
      </c>
      <c r="D111" s="416" t="s">
        <v>41</v>
      </c>
      <c r="E111" s="416" t="s">
        <v>187</v>
      </c>
      <c r="F111" s="416" t="s">
        <v>188</v>
      </c>
      <c r="G111" s="417"/>
      <c r="H111" s="415"/>
      <c r="I111" s="418"/>
      <c r="J111" s="418"/>
      <c r="K111" s="418"/>
      <c r="L111" s="418"/>
      <c r="M111" s="418"/>
      <c r="N111" s="418"/>
      <c r="O111" s="418"/>
      <c r="P111" s="418"/>
      <c r="Q111" s="418"/>
      <c r="R111" s="418"/>
      <c r="S111" s="418"/>
      <c r="T111" s="418"/>
      <c r="U111" s="418"/>
      <c r="V111" s="418"/>
      <c r="W111" s="418"/>
      <c r="X111" s="418"/>
      <c r="Y111" s="418"/>
      <c r="Z111" s="418"/>
      <c r="AA111" s="418"/>
      <c r="AB111" s="418"/>
      <c r="AC111" s="418"/>
      <c r="AD111" s="418"/>
      <c r="AE111" s="418"/>
      <c r="AF111" s="418"/>
    </row>
    <row r="112" spans="1:32" ht="13.5" hidden="1" customHeight="1" thickBot="1" x14ac:dyDescent="0.25">
      <c r="A112" s="720" t="s">
        <v>189</v>
      </c>
      <c r="B112" s="721"/>
      <c r="C112" s="721"/>
      <c r="D112" s="721"/>
      <c r="E112" s="721"/>
      <c r="F112" s="721"/>
      <c r="G112" s="721"/>
      <c r="H112" s="722"/>
      <c r="I112" s="418"/>
      <c r="J112" s="418"/>
      <c r="K112" s="418"/>
      <c r="L112" s="418"/>
      <c r="M112" s="418"/>
      <c r="N112" s="418"/>
      <c r="O112" s="418"/>
      <c r="P112" s="418"/>
      <c r="Q112" s="418"/>
      <c r="R112" s="418"/>
      <c r="S112" s="418"/>
      <c r="T112" s="418"/>
      <c r="U112" s="418"/>
      <c r="V112" s="418"/>
      <c r="W112" s="418"/>
      <c r="X112" s="418"/>
      <c r="Y112" s="418"/>
      <c r="Z112" s="418"/>
      <c r="AA112" s="418"/>
      <c r="AB112" s="418"/>
      <c r="AC112" s="418"/>
      <c r="AD112" s="418"/>
      <c r="AE112" s="418"/>
      <c r="AF112" s="418"/>
    </row>
    <row r="113" spans="1:32" ht="13.5" hidden="1" thickBot="1" x14ac:dyDescent="0.25">
      <c r="A113" s="412" t="s">
        <v>420</v>
      </c>
      <c r="B113" s="413" t="s">
        <v>190</v>
      </c>
      <c r="C113" s="411" t="s">
        <v>191</v>
      </c>
      <c r="D113" s="414" t="s">
        <v>192</v>
      </c>
      <c r="E113" s="414"/>
      <c r="F113" s="414"/>
      <c r="G113" s="419"/>
      <c r="H113" s="420"/>
      <c r="I113" s="418"/>
      <c r="J113" s="418"/>
      <c r="K113" s="418"/>
      <c r="L113" s="418"/>
      <c r="M113" s="418"/>
      <c r="N113" s="418"/>
      <c r="O113" s="418"/>
      <c r="P113" s="418"/>
      <c r="Q113" s="418"/>
      <c r="R113" s="418"/>
      <c r="S113" s="418"/>
      <c r="T113" s="418"/>
      <c r="U113" s="418"/>
      <c r="V113" s="418"/>
      <c r="W113" s="418"/>
      <c r="X113" s="418"/>
      <c r="Y113" s="418"/>
      <c r="Z113" s="418"/>
      <c r="AA113" s="418"/>
      <c r="AB113" s="418"/>
      <c r="AC113" s="418"/>
      <c r="AD113" s="418"/>
      <c r="AE113" s="418"/>
      <c r="AF113" s="418"/>
    </row>
    <row r="114" spans="1:32" ht="13.5" hidden="1" thickBot="1" x14ac:dyDescent="0.25">
      <c r="A114" s="412" t="s">
        <v>421</v>
      </c>
      <c r="B114" s="413" t="s">
        <v>193</v>
      </c>
      <c r="C114" s="411" t="s">
        <v>194</v>
      </c>
      <c r="D114" s="414" t="s">
        <v>227</v>
      </c>
      <c r="E114" s="414"/>
      <c r="F114" s="414"/>
      <c r="G114" s="419"/>
      <c r="H114" s="420"/>
      <c r="I114" s="418"/>
      <c r="J114" s="418"/>
      <c r="K114" s="418"/>
      <c r="L114" s="418"/>
      <c r="M114" s="418"/>
      <c r="N114" s="418"/>
      <c r="O114" s="418"/>
      <c r="P114" s="418"/>
      <c r="Q114" s="418"/>
      <c r="R114" s="418"/>
      <c r="S114" s="418"/>
      <c r="T114" s="418"/>
      <c r="U114" s="418"/>
      <c r="V114" s="418"/>
      <c r="W114" s="418"/>
      <c r="X114" s="418"/>
      <c r="Y114" s="418"/>
      <c r="Z114" s="418"/>
      <c r="AA114" s="418"/>
      <c r="AB114" s="418"/>
      <c r="AC114" s="418"/>
      <c r="AD114" s="418"/>
      <c r="AE114" s="418"/>
      <c r="AF114" s="418"/>
    </row>
    <row r="115" spans="1:32" ht="13.5" hidden="1" thickBot="1" x14ac:dyDescent="0.25">
      <c r="A115" s="412" t="s">
        <v>422</v>
      </c>
      <c r="B115" s="413" t="s">
        <v>193</v>
      </c>
      <c r="C115" s="411" t="s">
        <v>195</v>
      </c>
      <c r="D115" s="414" t="s">
        <v>25</v>
      </c>
      <c r="E115" s="414"/>
      <c r="F115" s="414"/>
      <c r="G115" s="419"/>
      <c r="H115" s="420"/>
      <c r="I115" s="418"/>
      <c r="J115" s="418"/>
      <c r="K115" s="418"/>
      <c r="L115" s="418"/>
      <c r="M115" s="418"/>
      <c r="N115" s="418"/>
      <c r="O115" s="418"/>
      <c r="P115" s="418"/>
      <c r="Q115" s="418"/>
      <c r="R115" s="418"/>
      <c r="S115" s="418"/>
      <c r="T115" s="418"/>
      <c r="U115" s="418"/>
      <c r="V115" s="418"/>
      <c r="W115" s="418"/>
      <c r="X115" s="418"/>
      <c r="Y115" s="418"/>
      <c r="Z115" s="418"/>
      <c r="AA115" s="418"/>
      <c r="AB115" s="418"/>
      <c r="AC115" s="418"/>
      <c r="AD115" s="418"/>
      <c r="AE115" s="418"/>
      <c r="AF115" s="418"/>
    </row>
    <row r="116" spans="1:32" ht="26.25" hidden="1" thickBot="1" x14ac:dyDescent="0.25">
      <c r="A116" s="412" t="s">
        <v>423</v>
      </c>
      <c r="B116" s="413" t="s">
        <v>190</v>
      </c>
      <c r="C116" s="411" t="s">
        <v>408</v>
      </c>
      <c r="D116" s="414" t="s">
        <v>196</v>
      </c>
      <c r="E116" s="414"/>
      <c r="F116" s="414"/>
      <c r="G116" s="419"/>
      <c r="H116" s="420"/>
      <c r="I116" s="418"/>
      <c r="J116" s="418"/>
      <c r="K116" s="418"/>
      <c r="L116" s="418"/>
      <c r="M116" s="418"/>
      <c r="N116" s="418"/>
      <c r="O116" s="418"/>
      <c r="P116" s="418"/>
      <c r="Q116" s="418"/>
      <c r="R116" s="418"/>
      <c r="S116" s="418"/>
      <c r="T116" s="418"/>
      <c r="U116" s="418"/>
      <c r="V116" s="418"/>
      <c r="W116" s="418"/>
      <c r="X116" s="418"/>
      <c r="Y116" s="418"/>
      <c r="Z116" s="418"/>
      <c r="AA116" s="418"/>
      <c r="AB116" s="418"/>
      <c r="AC116" s="418"/>
      <c r="AD116" s="418"/>
      <c r="AE116" s="418"/>
      <c r="AF116" s="418"/>
    </row>
    <row r="117" spans="1:32" ht="26.25" hidden="1" thickBot="1" x14ac:dyDescent="0.25">
      <c r="A117" s="412" t="s">
        <v>424</v>
      </c>
      <c r="B117" s="413" t="s">
        <v>193</v>
      </c>
      <c r="C117" s="411" t="s">
        <v>409</v>
      </c>
      <c r="D117" s="414" t="s">
        <v>192</v>
      </c>
      <c r="E117" s="414"/>
      <c r="F117" s="414"/>
      <c r="G117" s="419"/>
      <c r="H117" s="420"/>
      <c r="I117" s="418"/>
      <c r="J117" s="418"/>
      <c r="K117" s="418"/>
      <c r="L117" s="418"/>
      <c r="M117" s="418"/>
      <c r="N117" s="418"/>
      <c r="O117" s="418"/>
      <c r="P117" s="418"/>
      <c r="Q117" s="418"/>
      <c r="R117" s="418"/>
      <c r="S117" s="418"/>
      <c r="T117" s="418"/>
      <c r="U117" s="418"/>
      <c r="V117" s="418"/>
      <c r="W117" s="418"/>
      <c r="X117" s="418"/>
      <c r="Y117" s="418"/>
      <c r="Z117" s="418"/>
      <c r="AA117" s="418"/>
      <c r="AB117" s="418"/>
      <c r="AC117" s="418"/>
      <c r="AD117" s="418"/>
      <c r="AE117" s="418"/>
      <c r="AF117" s="418"/>
    </row>
    <row r="118" spans="1:32" ht="13.5" hidden="1" thickBot="1" x14ac:dyDescent="0.25">
      <c r="A118" s="412" t="s">
        <v>425</v>
      </c>
      <c r="B118" s="413" t="s">
        <v>190</v>
      </c>
      <c r="C118" s="411" t="s">
        <v>410</v>
      </c>
      <c r="D118" s="414" t="s">
        <v>192</v>
      </c>
      <c r="E118" s="414"/>
      <c r="F118" s="414"/>
      <c r="G118" s="419"/>
      <c r="H118" s="420"/>
      <c r="I118" s="418"/>
      <c r="J118" s="418"/>
      <c r="K118" s="418"/>
      <c r="L118" s="418"/>
      <c r="M118" s="418"/>
      <c r="N118" s="418"/>
      <c r="O118" s="418"/>
      <c r="P118" s="418"/>
      <c r="Q118" s="418"/>
      <c r="R118" s="418"/>
      <c r="S118" s="418"/>
      <c r="T118" s="418"/>
      <c r="U118" s="418"/>
      <c r="V118" s="418"/>
      <c r="W118" s="418"/>
      <c r="X118" s="418"/>
      <c r="Y118" s="418"/>
      <c r="Z118" s="418"/>
      <c r="AA118" s="418"/>
      <c r="AB118" s="418"/>
      <c r="AC118" s="418"/>
      <c r="AD118" s="418"/>
      <c r="AE118" s="418"/>
      <c r="AF118" s="418"/>
    </row>
    <row r="119" spans="1:32" ht="39" hidden="1" thickBot="1" x14ac:dyDescent="0.25">
      <c r="A119" s="412" t="s">
        <v>426</v>
      </c>
      <c r="B119" s="413" t="s">
        <v>193</v>
      </c>
      <c r="C119" s="411" t="s">
        <v>206</v>
      </c>
      <c r="D119" s="414" t="s">
        <v>192</v>
      </c>
      <c r="E119" s="414"/>
      <c r="F119" s="414"/>
      <c r="G119" s="419"/>
      <c r="H119" s="420"/>
      <c r="I119" s="418"/>
      <c r="J119" s="418"/>
      <c r="K119" s="418"/>
      <c r="L119" s="418"/>
      <c r="M119" s="418"/>
      <c r="N119" s="418"/>
      <c r="O119" s="418"/>
      <c r="P119" s="418"/>
      <c r="Q119" s="418"/>
      <c r="R119" s="418"/>
      <c r="S119" s="418"/>
      <c r="T119" s="418"/>
      <c r="U119" s="418"/>
      <c r="V119" s="418"/>
      <c r="W119" s="418"/>
      <c r="X119" s="418"/>
      <c r="Y119" s="418"/>
      <c r="Z119" s="418"/>
      <c r="AA119" s="418"/>
      <c r="AB119" s="418"/>
      <c r="AC119" s="418"/>
      <c r="AD119" s="418"/>
      <c r="AE119" s="418"/>
      <c r="AF119" s="418"/>
    </row>
    <row r="120" spans="1:32" ht="13.5" hidden="1" thickBot="1" x14ac:dyDescent="0.25">
      <c r="A120" s="412" t="s">
        <v>427</v>
      </c>
      <c r="B120" s="413" t="s">
        <v>193</v>
      </c>
      <c r="C120" s="411" t="s">
        <v>411</v>
      </c>
      <c r="D120" s="414" t="s">
        <v>192</v>
      </c>
      <c r="E120" s="414"/>
      <c r="F120" s="414"/>
      <c r="G120" s="419"/>
      <c r="H120" s="420"/>
      <c r="I120" s="418"/>
      <c r="J120" s="418"/>
      <c r="K120" s="418"/>
      <c r="L120" s="418"/>
      <c r="M120" s="418"/>
      <c r="N120" s="418"/>
      <c r="O120" s="418"/>
      <c r="P120" s="418"/>
      <c r="Q120" s="418"/>
      <c r="R120" s="418"/>
      <c r="S120" s="418"/>
      <c r="T120" s="418"/>
      <c r="U120" s="418"/>
      <c r="V120" s="418"/>
      <c r="W120" s="418"/>
      <c r="X120" s="418"/>
      <c r="Y120" s="418"/>
      <c r="Z120" s="418"/>
      <c r="AA120" s="418"/>
      <c r="AB120" s="418"/>
      <c r="AC120" s="418"/>
      <c r="AD120" s="418"/>
      <c r="AE120" s="418"/>
      <c r="AF120" s="418"/>
    </row>
    <row r="121" spans="1:32" ht="13.5" hidden="1" thickBot="1" x14ac:dyDescent="0.25">
      <c r="A121" s="412" t="s">
        <v>428</v>
      </c>
      <c r="B121" s="413" t="s">
        <v>193</v>
      </c>
      <c r="C121" s="411" t="s">
        <v>412</v>
      </c>
      <c r="D121" s="414" t="s">
        <v>192</v>
      </c>
      <c r="E121" s="414"/>
      <c r="F121" s="414"/>
      <c r="G121" s="419"/>
      <c r="H121" s="420"/>
      <c r="I121" s="418"/>
      <c r="J121" s="418"/>
      <c r="K121" s="418"/>
      <c r="L121" s="418"/>
      <c r="M121" s="418"/>
      <c r="N121" s="418"/>
      <c r="O121" s="418"/>
      <c r="P121" s="418"/>
      <c r="Q121" s="418"/>
      <c r="R121" s="418"/>
      <c r="S121" s="418"/>
      <c r="T121" s="418"/>
      <c r="U121" s="418"/>
      <c r="V121" s="418"/>
      <c r="W121" s="418"/>
      <c r="X121" s="418"/>
      <c r="Y121" s="418"/>
      <c r="Z121" s="418"/>
      <c r="AA121" s="418"/>
      <c r="AB121" s="418"/>
      <c r="AC121" s="418"/>
      <c r="AD121" s="418"/>
      <c r="AE121" s="418"/>
      <c r="AF121" s="418"/>
    </row>
    <row r="122" spans="1:32" ht="26.25" hidden="1" thickBot="1" x14ac:dyDescent="0.25">
      <c r="A122" s="412" t="s">
        <v>429</v>
      </c>
      <c r="B122" s="413" t="s">
        <v>193</v>
      </c>
      <c r="C122" s="411" t="s">
        <v>413</v>
      </c>
      <c r="D122" s="414" t="s">
        <v>132</v>
      </c>
      <c r="E122" s="414"/>
      <c r="F122" s="414"/>
      <c r="G122" s="419"/>
      <c r="H122" s="420"/>
      <c r="I122" s="418"/>
      <c r="J122" s="418"/>
      <c r="K122" s="418"/>
      <c r="L122" s="418"/>
      <c r="M122" s="418"/>
      <c r="N122" s="418"/>
      <c r="O122" s="418"/>
      <c r="P122" s="418"/>
      <c r="Q122" s="418"/>
      <c r="R122" s="418"/>
      <c r="S122" s="418"/>
      <c r="T122" s="418"/>
      <c r="U122" s="418"/>
      <c r="V122" s="418"/>
      <c r="W122" s="418"/>
      <c r="X122" s="418"/>
      <c r="Y122" s="418"/>
      <c r="Z122" s="418"/>
      <c r="AA122" s="418"/>
      <c r="AB122" s="418"/>
      <c r="AC122" s="418"/>
      <c r="AD122" s="418"/>
      <c r="AE122" s="418"/>
      <c r="AF122" s="418"/>
    </row>
    <row r="123" spans="1:32" ht="13.5" hidden="1" thickBot="1" x14ac:dyDescent="0.25">
      <c r="A123" s="412" t="s">
        <v>430</v>
      </c>
      <c r="B123" s="413"/>
      <c r="C123" s="411"/>
      <c r="D123" s="414"/>
      <c r="E123" s="414"/>
      <c r="F123" s="414"/>
      <c r="G123" s="419"/>
      <c r="H123" s="420"/>
      <c r="I123" s="418"/>
      <c r="J123" s="418"/>
      <c r="K123" s="418"/>
      <c r="L123" s="418"/>
      <c r="M123" s="418"/>
      <c r="N123" s="418"/>
      <c r="O123" s="418"/>
      <c r="P123" s="418"/>
      <c r="Q123" s="418"/>
      <c r="R123" s="418"/>
      <c r="S123" s="418"/>
      <c r="T123" s="418"/>
      <c r="U123" s="418"/>
      <c r="V123" s="418"/>
      <c r="W123" s="418"/>
      <c r="X123" s="418"/>
      <c r="Y123" s="418"/>
      <c r="Z123" s="418"/>
      <c r="AA123" s="418"/>
      <c r="AB123" s="418"/>
      <c r="AC123" s="418"/>
      <c r="AD123" s="418"/>
      <c r="AE123" s="418"/>
      <c r="AF123" s="418"/>
    </row>
    <row r="124" spans="1:32" ht="13.5" hidden="1" thickBot="1" x14ac:dyDescent="0.25">
      <c r="A124" s="412"/>
      <c r="B124" s="413"/>
      <c r="C124" s="411"/>
      <c r="D124" s="414"/>
      <c r="E124" s="414"/>
      <c r="F124" s="414"/>
      <c r="G124" s="419"/>
      <c r="H124" s="420"/>
      <c r="I124" s="418"/>
      <c r="J124" s="418"/>
      <c r="K124" s="418"/>
      <c r="L124" s="418"/>
      <c r="M124" s="418"/>
      <c r="N124" s="418"/>
      <c r="O124" s="418"/>
      <c r="P124" s="418"/>
      <c r="Q124" s="418"/>
      <c r="R124" s="418"/>
      <c r="S124" s="418"/>
      <c r="T124" s="418"/>
      <c r="U124" s="418"/>
      <c r="V124" s="418"/>
      <c r="W124" s="418"/>
      <c r="X124" s="418"/>
      <c r="Y124" s="418"/>
      <c r="Z124" s="418"/>
      <c r="AA124" s="418"/>
      <c r="AB124" s="418"/>
      <c r="AC124" s="418"/>
      <c r="AD124" s="418"/>
      <c r="AE124" s="418"/>
      <c r="AF124" s="418"/>
    </row>
    <row r="125" spans="1:32" ht="13.5" hidden="1" thickBot="1" x14ac:dyDescent="0.25">
      <c r="A125" s="412"/>
      <c r="B125" s="413"/>
      <c r="C125" s="411"/>
      <c r="D125" s="414"/>
      <c r="E125" s="414"/>
      <c r="F125" s="414"/>
      <c r="G125" s="419"/>
      <c r="H125" s="420"/>
      <c r="I125" s="418"/>
      <c r="J125" s="418"/>
      <c r="K125" s="418"/>
      <c r="L125" s="418"/>
      <c r="M125" s="418"/>
      <c r="N125" s="418"/>
      <c r="O125" s="418"/>
      <c r="P125" s="418"/>
      <c r="Q125" s="418"/>
      <c r="R125" s="418"/>
      <c r="S125" s="418"/>
      <c r="T125" s="418"/>
      <c r="U125" s="418"/>
      <c r="V125" s="418"/>
      <c r="W125" s="418"/>
      <c r="X125" s="418"/>
      <c r="Y125" s="418"/>
      <c r="Z125" s="418"/>
      <c r="AA125" s="418"/>
      <c r="AB125" s="418"/>
      <c r="AC125" s="418"/>
      <c r="AD125" s="418"/>
      <c r="AE125" s="418"/>
      <c r="AF125" s="418"/>
    </row>
    <row r="126" spans="1:32" ht="13.5" hidden="1" thickBot="1" x14ac:dyDescent="0.25">
      <c r="A126" s="412"/>
      <c r="B126" s="413"/>
      <c r="C126" s="411"/>
      <c r="D126" s="414"/>
      <c r="E126" s="414"/>
      <c r="F126" s="414"/>
      <c r="G126" s="419"/>
      <c r="H126" s="420"/>
      <c r="I126" s="418"/>
      <c r="J126" s="418"/>
      <c r="K126" s="418"/>
      <c r="L126" s="418"/>
      <c r="M126" s="418"/>
      <c r="N126" s="418"/>
      <c r="O126" s="418"/>
      <c r="P126" s="418"/>
      <c r="Q126" s="418"/>
      <c r="R126" s="418"/>
      <c r="S126" s="418"/>
      <c r="T126" s="418"/>
      <c r="U126" s="418"/>
      <c r="V126" s="418"/>
      <c r="W126" s="418"/>
      <c r="X126" s="418"/>
      <c r="Y126" s="418"/>
      <c r="Z126" s="418"/>
      <c r="AA126" s="418"/>
      <c r="AB126" s="418"/>
      <c r="AC126" s="418"/>
      <c r="AD126" s="418"/>
      <c r="AE126" s="418"/>
      <c r="AF126" s="418"/>
    </row>
    <row r="127" spans="1:32" ht="13.5" hidden="1" thickBot="1" x14ac:dyDescent="0.25">
      <c r="A127" s="412"/>
      <c r="B127" s="413"/>
      <c r="C127" s="411"/>
      <c r="D127" s="414"/>
      <c r="E127" s="414"/>
      <c r="F127" s="414"/>
      <c r="G127" s="419"/>
      <c r="H127" s="420"/>
      <c r="I127" s="418"/>
      <c r="J127" s="418"/>
      <c r="K127" s="418"/>
      <c r="L127" s="418"/>
      <c r="M127" s="418"/>
      <c r="N127" s="418"/>
      <c r="O127" s="418"/>
      <c r="P127" s="418"/>
      <c r="Q127" s="418"/>
      <c r="R127" s="418"/>
      <c r="S127" s="418"/>
      <c r="T127" s="418"/>
      <c r="U127" s="418"/>
      <c r="V127" s="418"/>
      <c r="W127" s="418"/>
      <c r="X127" s="418"/>
      <c r="Y127" s="418"/>
      <c r="Z127" s="418"/>
      <c r="AA127" s="418"/>
      <c r="AB127" s="418"/>
      <c r="AC127" s="418"/>
      <c r="AD127" s="418"/>
      <c r="AE127" s="418"/>
      <c r="AF127" s="418"/>
    </row>
    <row r="128" spans="1:32" ht="13.5" hidden="1" thickBot="1" x14ac:dyDescent="0.25">
      <c r="A128" s="412"/>
      <c r="B128" s="413"/>
      <c r="C128" s="411"/>
      <c r="D128" s="414"/>
      <c r="E128" s="414"/>
      <c r="F128" s="414"/>
      <c r="G128" s="419"/>
      <c r="H128" s="420"/>
      <c r="I128" s="418"/>
      <c r="J128" s="418"/>
      <c r="K128" s="418"/>
      <c r="L128" s="418"/>
      <c r="M128" s="418"/>
      <c r="N128" s="418"/>
      <c r="O128" s="418"/>
      <c r="P128" s="418"/>
      <c r="Q128" s="418"/>
      <c r="R128" s="418"/>
      <c r="S128" s="418"/>
      <c r="T128" s="418"/>
      <c r="U128" s="418"/>
      <c r="V128" s="418"/>
      <c r="W128" s="418"/>
      <c r="X128" s="418"/>
      <c r="Y128" s="418"/>
      <c r="Z128" s="418"/>
      <c r="AA128" s="418"/>
      <c r="AB128" s="418"/>
      <c r="AC128" s="418"/>
      <c r="AD128" s="418"/>
      <c r="AE128" s="418"/>
      <c r="AF128" s="418"/>
    </row>
    <row r="129" spans="1:32" ht="13.5" hidden="1" thickBot="1" x14ac:dyDescent="0.25">
      <c r="A129" s="412"/>
      <c r="B129" s="413"/>
      <c r="C129" s="411"/>
      <c r="D129" s="414"/>
      <c r="E129" s="414"/>
      <c r="F129" s="414"/>
      <c r="G129" s="419"/>
      <c r="H129" s="420"/>
      <c r="I129" s="418"/>
      <c r="J129" s="418"/>
      <c r="K129" s="418"/>
      <c r="L129" s="418"/>
      <c r="M129" s="418"/>
      <c r="N129" s="418"/>
      <c r="O129" s="418"/>
      <c r="P129" s="418"/>
      <c r="Q129" s="418"/>
      <c r="R129" s="418"/>
      <c r="S129" s="418"/>
      <c r="T129" s="418"/>
      <c r="U129" s="418"/>
      <c r="V129" s="418"/>
      <c r="W129" s="418"/>
      <c r="X129" s="418"/>
      <c r="Y129" s="418"/>
      <c r="Z129" s="418"/>
      <c r="AA129" s="418"/>
      <c r="AB129" s="418"/>
      <c r="AC129" s="418"/>
      <c r="AD129" s="418"/>
      <c r="AE129" s="418"/>
      <c r="AF129" s="418"/>
    </row>
    <row r="130" spans="1:32" ht="13.5" hidden="1" thickBot="1" x14ac:dyDescent="0.25">
      <c r="A130" s="421"/>
      <c r="B130" s="421"/>
      <c r="C130" s="422"/>
      <c r="D130" s="198"/>
      <c r="E130" s="198"/>
      <c r="F130" s="198"/>
      <c r="G130" s="198"/>
      <c r="H130" s="421"/>
      <c r="I130" s="418"/>
      <c r="J130" s="418"/>
      <c r="K130" s="418"/>
      <c r="L130" s="418"/>
      <c r="M130" s="418"/>
      <c r="N130" s="418"/>
      <c r="O130" s="418"/>
      <c r="P130" s="418"/>
      <c r="Q130" s="418"/>
      <c r="R130" s="418"/>
      <c r="S130" s="418"/>
      <c r="T130" s="418"/>
      <c r="U130" s="418"/>
      <c r="V130" s="418"/>
      <c r="W130" s="418"/>
      <c r="X130" s="418"/>
      <c r="Y130" s="418"/>
      <c r="Z130" s="418"/>
      <c r="AA130" s="418"/>
      <c r="AB130" s="418"/>
      <c r="AC130" s="418"/>
      <c r="AD130" s="418"/>
      <c r="AE130" s="418"/>
      <c r="AF130" s="418"/>
    </row>
    <row r="131" spans="1:32" ht="13.5" hidden="1" customHeight="1" thickBot="1" x14ac:dyDescent="0.25">
      <c r="A131" s="715" t="s">
        <v>207</v>
      </c>
      <c r="B131" s="716"/>
      <c r="C131" s="716"/>
      <c r="D131" s="716"/>
      <c r="E131" s="716"/>
      <c r="F131" s="716"/>
      <c r="G131" s="716"/>
      <c r="H131" s="717"/>
      <c r="I131" s="418"/>
      <c r="J131" s="418"/>
      <c r="K131" s="418"/>
      <c r="L131" s="418"/>
      <c r="M131" s="418"/>
      <c r="N131" s="418"/>
      <c r="O131" s="418"/>
      <c r="P131" s="418"/>
      <c r="Q131" s="418"/>
      <c r="R131" s="418"/>
      <c r="S131" s="418"/>
      <c r="T131" s="418"/>
      <c r="U131" s="418"/>
      <c r="V131" s="418"/>
      <c r="W131" s="418"/>
      <c r="X131" s="418"/>
      <c r="Y131" s="418"/>
      <c r="Z131" s="418"/>
      <c r="AA131" s="418"/>
      <c r="AB131" s="418"/>
      <c r="AC131" s="418"/>
      <c r="AD131" s="418"/>
      <c r="AE131" s="418"/>
      <c r="AF131" s="418"/>
    </row>
    <row r="132" spans="1:32" ht="26.25" hidden="1" thickBot="1" x14ac:dyDescent="0.25">
      <c r="A132" s="193" t="s">
        <v>437</v>
      </c>
      <c r="B132" s="194" t="s">
        <v>193</v>
      </c>
      <c r="C132" s="196" t="s">
        <v>431</v>
      </c>
      <c r="D132" s="188" t="s">
        <v>192</v>
      </c>
      <c r="E132" s="188"/>
      <c r="F132" s="188"/>
      <c r="G132" s="192"/>
      <c r="H132" s="195"/>
      <c r="I132" s="418"/>
      <c r="J132" s="418"/>
      <c r="K132" s="418"/>
      <c r="L132" s="418"/>
      <c r="M132" s="418"/>
      <c r="N132" s="418"/>
      <c r="O132" s="418"/>
      <c r="P132" s="418"/>
      <c r="Q132" s="418"/>
      <c r="R132" s="418"/>
      <c r="S132" s="418"/>
      <c r="T132" s="418"/>
      <c r="U132" s="418"/>
      <c r="V132" s="418"/>
      <c r="W132" s="418"/>
      <c r="X132" s="418"/>
      <c r="Y132" s="418"/>
      <c r="Z132" s="418"/>
      <c r="AA132" s="418"/>
      <c r="AB132" s="418"/>
      <c r="AC132" s="418"/>
      <c r="AD132" s="418"/>
      <c r="AE132" s="418"/>
      <c r="AF132" s="418"/>
    </row>
    <row r="133" spans="1:32" ht="26.25" hidden="1" thickBot="1" x14ac:dyDescent="0.25">
      <c r="A133" s="193" t="s">
        <v>438</v>
      </c>
      <c r="B133" s="194" t="s">
        <v>193</v>
      </c>
      <c r="C133" s="196" t="s">
        <v>432</v>
      </c>
      <c r="D133" s="188" t="s">
        <v>192</v>
      </c>
      <c r="E133" s="188"/>
      <c r="F133" s="188"/>
      <c r="G133" s="192"/>
      <c r="H133" s="195"/>
      <c r="I133" s="418"/>
      <c r="J133" s="418"/>
      <c r="K133" s="418"/>
      <c r="L133" s="418"/>
      <c r="M133" s="418"/>
      <c r="N133" s="418"/>
      <c r="O133" s="418"/>
      <c r="P133" s="418"/>
      <c r="Q133" s="418"/>
      <c r="R133" s="418"/>
      <c r="S133" s="418"/>
      <c r="T133" s="418"/>
      <c r="U133" s="418"/>
      <c r="V133" s="418"/>
      <c r="W133" s="418"/>
      <c r="X133" s="418"/>
      <c r="Y133" s="418"/>
      <c r="Z133" s="418"/>
      <c r="AA133" s="418"/>
      <c r="AB133" s="418"/>
      <c r="AC133" s="418"/>
      <c r="AD133" s="418"/>
      <c r="AE133" s="418"/>
      <c r="AF133" s="418"/>
    </row>
    <row r="134" spans="1:32" ht="39" hidden="1" thickBot="1" x14ac:dyDescent="0.25">
      <c r="A134" s="193" t="s">
        <v>439</v>
      </c>
      <c r="B134" s="194" t="s">
        <v>193</v>
      </c>
      <c r="C134" s="196" t="s">
        <v>433</v>
      </c>
      <c r="D134" s="188" t="s">
        <v>192</v>
      </c>
      <c r="E134" s="188"/>
      <c r="F134" s="188"/>
      <c r="G134" s="192"/>
      <c r="H134" s="195"/>
      <c r="I134" s="418"/>
      <c r="J134" s="418"/>
      <c r="K134" s="418"/>
      <c r="L134" s="418"/>
      <c r="M134" s="418"/>
      <c r="N134" s="418"/>
      <c r="O134" s="418"/>
      <c r="P134" s="418"/>
      <c r="Q134" s="418"/>
      <c r="R134" s="418"/>
      <c r="S134" s="418"/>
      <c r="T134" s="418"/>
      <c r="U134" s="418"/>
      <c r="V134" s="418"/>
      <c r="W134" s="418"/>
      <c r="X134" s="418"/>
      <c r="Y134" s="418"/>
      <c r="Z134" s="418"/>
      <c r="AA134" s="418"/>
      <c r="AB134" s="418"/>
      <c r="AC134" s="418"/>
      <c r="AD134" s="418"/>
      <c r="AE134" s="418"/>
      <c r="AF134" s="418"/>
    </row>
    <row r="135" spans="1:32" ht="39" hidden="1" thickBot="1" x14ac:dyDescent="0.25">
      <c r="A135" s="193" t="s">
        <v>440</v>
      </c>
      <c r="B135" s="194" t="s">
        <v>193</v>
      </c>
      <c r="C135" s="196" t="s">
        <v>434</v>
      </c>
      <c r="D135" s="188" t="s">
        <v>192</v>
      </c>
      <c r="E135" s="188"/>
      <c r="F135" s="188"/>
      <c r="G135" s="192"/>
      <c r="H135" s="195"/>
      <c r="I135" s="418"/>
      <c r="J135" s="418"/>
      <c r="K135" s="418"/>
      <c r="L135" s="418"/>
      <c r="M135" s="418"/>
      <c r="N135" s="418"/>
      <c r="O135" s="418"/>
      <c r="P135" s="418"/>
      <c r="Q135" s="418"/>
      <c r="R135" s="418"/>
      <c r="S135" s="418"/>
      <c r="T135" s="418"/>
      <c r="U135" s="418"/>
      <c r="V135" s="418"/>
      <c r="W135" s="418"/>
      <c r="X135" s="418"/>
      <c r="Y135" s="418"/>
      <c r="Z135" s="418"/>
      <c r="AA135" s="418"/>
      <c r="AB135" s="418"/>
      <c r="AC135" s="418"/>
      <c r="AD135" s="418"/>
      <c r="AE135" s="418"/>
      <c r="AF135" s="418"/>
    </row>
    <row r="136" spans="1:32" ht="39" hidden="1" thickBot="1" x14ac:dyDescent="0.25">
      <c r="A136" s="193" t="s">
        <v>441</v>
      </c>
      <c r="B136" s="194" t="s">
        <v>193</v>
      </c>
      <c r="C136" s="196" t="s">
        <v>435</v>
      </c>
      <c r="D136" s="188" t="s">
        <v>192</v>
      </c>
      <c r="E136" s="188"/>
      <c r="F136" s="188"/>
      <c r="G136" s="192"/>
      <c r="H136" s="195"/>
      <c r="I136" s="418"/>
      <c r="J136" s="418"/>
      <c r="K136" s="418"/>
      <c r="L136" s="418"/>
      <c r="M136" s="418"/>
      <c r="N136" s="418"/>
      <c r="O136" s="418"/>
      <c r="P136" s="418"/>
      <c r="Q136" s="418"/>
      <c r="R136" s="418"/>
      <c r="S136" s="418"/>
      <c r="T136" s="418"/>
      <c r="U136" s="418"/>
      <c r="V136" s="418"/>
      <c r="W136" s="418"/>
      <c r="X136" s="418"/>
      <c r="Y136" s="418"/>
      <c r="Z136" s="418"/>
      <c r="AA136" s="418"/>
      <c r="AB136" s="418"/>
      <c r="AC136" s="418"/>
      <c r="AD136" s="418"/>
      <c r="AE136" s="418"/>
      <c r="AF136" s="418"/>
    </row>
    <row r="137" spans="1:32" ht="26.25" hidden="1" thickBot="1" x14ac:dyDescent="0.25">
      <c r="A137" s="193" t="s">
        <v>442</v>
      </c>
      <c r="B137" s="194" t="s">
        <v>193</v>
      </c>
      <c r="C137" s="196" t="s">
        <v>436</v>
      </c>
      <c r="D137" s="188" t="s">
        <v>192</v>
      </c>
      <c r="E137" s="188"/>
      <c r="F137" s="188"/>
      <c r="G137" s="192"/>
      <c r="H137" s="195"/>
      <c r="I137" s="418"/>
      <c r="J137" s="418"/>
      <c r="K137" s="418"/>
      <c r="L137" s="418"/>
      <c r="M137" s="418"/>
      <c r="N137" s="418"/>
      <c r="O137" s="418"/>
      <c r="P137" s="418"/>
      <c r="Q137" s="418"/>
      <c r="R137" s="418"/>
      <c r="S137" s="418"/>
      <c r="T137" s="418"/>
      <c r="U137" s="418"/>
      <c r="V137" s="418"/>
      <c r="W137" s="418"/>
      <c r="X137" s="418"/>
      <c r="Y137" s="418"/>
      <c r="Z137" s="418"/>
      <c r="AA137" s="418"/>
      <c r="AB137" s="418"/>
      <c r="AC137" s="418"/>
      <c r="AD137" s="418"/>
      <c r="AE137" s="418"/>
      <c r="AF137" s="418"/>
    </row>
    <row r="138" spans="1:32" ht="13.5" hidden="1" thickBot="1" x14ac:dyDescent="0.25">
      <c r="A138" s="425"/>
      <c r="B138" s="426" t="str">
        <f>IF($C138="","",LOOKUP($C138,$C$140:$C$177,B$140:B$177))</f>
        <v/>
      </c>
      <c r="C138" s="425"/>
      <c r="D138" s="425"/>
      <c r="E138" s="425"/>
      <c r="F138" s="425"/>
      <c r="G138" s="425"/>
      <c r="H138" s="425"/>
      <c r="I138" s="418"/>
      <c r="J138" s="418"/>
      <c r="K138" s="418"/>
      <c r="L138" s="418"/>
      <c r="M138" s="418"/>
      <c r="N138" s="418"/>
      <c r="O138" s="418"/>
      <c r="P138" s="418"/>
      <c r="Q138" s="418"/>
      <c r="R138" s="418"/>
      <c r="S138" s="418"/>
      <c r="T138" s="418"/>
      <c r="U138" s="418"/>
      <c r="V138" s="418"/>
      <c r="W138" s="418"/>
      <c r="X138" s="418"/>
      <c r="Y138" s="418"/>
      <c r="Z138" s="418"/>
      <c r="AA138" s="418"/>
      <c r="AB138" s="418"/>
      <c r="AC138" s="418"/>
      <c r="AD138" s="418"/>
      <c r="AE138" s="418"/>
      <c r="AF138" s="418"/>
    </row>
    <row r="139" spans="1:32" ht="13.5" hidden="1" customHeight="1" thickBot="1" x14ac:dyDescent="0.25">
      <c r="A139" s="427" t="s">
        <v>359</v>
      </c>
      <c r="B139" s="423"/>
      <c r="C139" s="423"/>
      <c r="D139" s="423"/>
      <c r="E139" s="423"/>
      <c r="F139" s="423"/>
      <c r="G139" s="423"/>
      <c r="H139" s="424"/>
      <c r="I139" s="418"/>
      <c r="J139" s="418"/>
      <c r="K139" s="418"/>
      <c r="L139" s="418"/>
      <c r="M139" s="418"/>
      <c r="N139" s="418"/>
      <c r="O139" s="418"/>
      <c r="P139" s="418"/>
      <c r="Q139" s="418"/>
      <c r="R139" s="418"/>
      <c r="S139" s="418"/>
      <c r="T139" s="418"/>
      <c r="U139" s="418"/>
      <c r="V139" s="418"/>
      <c r="W139" s="418"/>
      <c r="X139" s="418"/>
      <c r="Y139" s="418"/>
      <c r="Z139" s="418"/>
      <c r="AA139" s="418"/>
      <c r="AB139" s="418"/>
      <c r="AC139" s="418"/>
      <c r="AD139" s="418"/>
      <c r="AE139" s="418"/>
      <c r="AF139" s="418"/>
    </row>
    <row r="140" spans="1:32" ht="17.25" hidden="1" customHeight="1" thickBot="1" x14ac:dyDescent="0.25">
      <c r="A140" s="182" t="s">
        <v>414</v>
      </c>
      <c r="B140" s="418" t="s">
        <v>58</v>
      </c>
      <c r="C140" s="408" t="s">
        <v>468</v>
      </c>
      <c r="D140" s="184"/>
      <c r="E140" s="184"/>
      <c r="F140" s="184"/>
      <c r="G140" s="184"/>
      <c r="H140" s="185"/>
      <c r="I140" s="182" t="s">
        <v>414</v>
      </c>
      <c r="J140" s="418" t="s">
        <v>58</v>
      </c>
      <c r="K140" s="407" t="s">
        <v>492</v>
      </c>
      <c r="L140" s="183"/>
      <c r="M140" s="183"/>
      <c r="N140" s="183"/>
      <c r="O140" s="183"/>
      <c r="P140" s="183"/>
      <c r="Q140" s="418" t="s">
        <v>414</v>
      </c>
      <c r="R140" s="418" t="s">
        <v>58</v>
      </c>
      <c r="S140" s="409" t="s">
        <v>512</v>
      </c>
      <c r="T140" s="183"/>
      <c r="U140" s="183"/>
      <c r="V140" s="183"/>
      <c r="W140" s="183"/>
      <c r="X140" s="183"/>
      <c r="Y140" s="418" t="s">
        <v>414</v>
      </c>
      <c r="Z140" s="418" t="s">
        <v>58</v>
      </c>
      <c r="AA140" s="409" t="s">
        <v>517</v>
      </c>
      <c r="AB140" s="183"/>
      <c r="AC140" s="183"/>
      <c r="AD140" s="183"/>
      <c r="AE140" s="183"/>
      <c r="AF140" s="183"/>
    </row>
    <row r="141" spans="1:32" ht="15" hidden="1" customHeight="1" thickBot="1" x14ac:dyDescent="0.25">
      <c r="A141" s="186" t="s">
        <v>487</v>
      </c>
      <c r="B141" s="187" t="s">
        <v>190</v>
      </c>
      <c r="C141" s="187" t="s">
        <v>443</v>
      </c>
      <c r="D141" s="188" t="s">
        <v>444</v>
      </c>
      <c r="E141" s="188"/>
      <c r="F141" s="188"/>
      <c r="G141" s="189"/>
      <c r="H141" s="190"/>
      <c r="I141" s="186" t="s">
        <v>487</v>
      </c>
      <c r="J141" s="187" t="s">
        <v>190</v>
      </c>
      <c r="K141" s="191" t="s">
        <v>493</v>
      </c>
      <c r="L141" s="188" t="s">
        <v>192</v>
      </c>
      <c r="M141" s="188"/>
      <c r="N141" s="188"/>
      <c r="O141" s="189"/>
      <c r="P141" s="190"/>
      <c r="Q141" s="428" t="s">
        <v>487</v>
      </c>
      <c r="R141" s="428" t="s">
        <v>190</v>
      </c>
      <c r="S141" s="429" t="s">
        <v>513</v>
      </c>
      <c r="T141" s="430" t="s">
        <v>192</v>
      </c>
      <c r="U141" s="431"/>
      <c r="V141" s="431"/>
      <c r="W141" s="432"/>
      <c r="X141" s="433"/>
      <c r="Y141" s="430" t="s">
        <v>487</v>
      </c>
      <c r="Z141" s="428" t="s">
        <v>190</v>
      </c>
      <c r="AA141" s="434" t="s">
        <v>525</v>
      </c>
      <c r="AB141" s="434" t="s">
        <v>192</v>
      </c>
      <c r="AC141" s="431"/>
      <c r="AD141" s="431"/>
      <c r="AE141" s="432"/>
      <c r="AF141" s="435"/>
    </row>
    <row r="142" spans="1:32" ht="15" hidden="1" customHeight="1" thickBot="1" x14ac:dyDescent="0.25">
      <c r="A142" s="186" t="s">
        <v>488</v>
      </c>
      <c r="B142" s="194" t="s">
        <v>193</v>
      </c>
      <c r="C142" s="194" t="s">
        <v>445</v>
      </c>
      <c r="D142" s="188" t="s">
        <v>446</v>
      </c>
      <c r="E142" s="188"/>
      <c r="F142" s="188"/>
      <c r="G142" s="192"/>
      <c r="H142" s="195"/>
      <c r="I142" s="186" t="s">
        <v>488</v>
      </c>
      <c r="J142" s="187" t="s">
        <v>193</v>
      </c>
      <c r="K142" s="191" t="s">
        <v>494</v>
      </c>
      <c r="L142" s="188" t="s">
        <v>446</v>
      </c>
      <c r="M142" s="188"/>
      <c r="N142" s="188"/>
      <c r="O142" s="189"/>
      <c r="P142" s="190"/>
      <c r="Q142" s="428" t="s">
        <v>488</v>
      </c>
      <c r="R142" s="428" t="s">
        <v>193</v>
      </c>
      <c r="S142" s="429" t="s">
        <v>514</v>
      </c>
      <c r="T142" s="430" t="s">
        <v>192</v>
      </c>
      <c r="U142" s="431"/>
      <c r="V142" s="431"/>
      <c r="W142" s="432"/>
      <c r="X142" s="433"/>
      <c r="Y142" s="430" t="s">
        <v>488</v>
      </c>
      <c r="Z142" s="428" t="s">
        <v>193</v>
      </c>
      <c r="AA142" s="434" t="s">
        <v>526</v>
      </c>
      <c r="AB142" s="434" t="s">
        <v>192</v>
      </c>
      <c r="AC142" s="431"/>
      <c r="AD142" s="431"/>
      <c r="AE142" s="432"/>
      <c r="AF142" s="435"/>
    </row>
    <row r="143" spans="1:32" ht="15" hidden="1" customHeight="1" thickBot="1" x14ac:dyDescent="0.25">
      <c r="A143" s="186" t="s">
        <v>489</v>
      </c>
      <c r="B143" s="194" t="s">
        <v>193</v>
      </c>
      <c r="C143" s="194" t="s">
        <v>447</v>
      </c>
      <c r="D143" s="188" t="s">
        <v>196</v>
      </c>
      <c r="E143" s="188"/>
      <c r="F143" s="188"/>
      <c r="G143" s="192"/>
      <c r="H143" s="195"/>
      <c r="I143" s="193" t="s">
        <v>489</v>
      </c>
      <c r="J143" s="194" t="s">
        <v>193</v>
      </c>
      <c r="K143" s="196" t="s">
        <v>495</v>
      </c>
      <c r="L143" s="188" t="s">
        <v>132</v>
      </c>
      <c r="M143" s="188"/>
      <c r="N143" s="188"/>
      <c r="O143" s="192"/>
      <c r="P143" s="190"/>
      <c r="Q143" s="428" t="s">
        <v>489</v>
      </c>
      <c r="R143" s="428" t="s">
        <v>193</v>
      </c>
      <c r="S143" s="429" t="s">
        <v>515</v>
      </c>
      <c r="T143" s="430" t="s">
        <v>192</v>
      </c>
      <c r="U143" s="431"/>
      <c r="V143" s="431"/>
      <c r="W143" s="432"/>
      <c r="X143" s="433"/>
      <c r="Y143" s="430" t="s">
        <v>489</v>
      </c>
      <c r="Z143" s="430" t="s">
        <v>193</v>
      </c>
      <c r="AA143" s="434" t="s">
        <v>527</v>
      </c>
      <c r="AB143" s="434" t="s">
        <v>192</v>
      </c>
      <c r="AC143" s="431"/>
      <c r="AD143" s="431"/>
      <c r="AE143" s="432"/>
      <c r="AF143" s="435"/>
    </row>
    <row r="144" spans="1:32" ht="15" hidden="1" customHeight="1" thickBot="1" x14ac:dyDescent="0.25">
      <c r="A144" s="186" t="s">
        <v>490</v>
      </c>
      <c r="B144" s="194" t="s">
        <v>193</v>
      </c>
      <c r="C144" s="194" t="s">
        <v>448</v>
      </c>
      <c r="D144" s="188" t="s">
        <v>192</v>
      </c>
      <c r="E144" s="188"/>
      <c r="F144" s="188"/>
      <c r="G144" s="192"/>
      <c r="H144" s="195"/>
      <c r="I144" s="193" t="s">
        <v>490</v>
      </c>
      <c r="J144" s="194" t="s">
        <v>193</v>
      </c>
      <c r="K144" s="196" t="s">
        <v>496</v>
      </c>
      <c r="L144" s="188" t="s">
        <v>192</v>
      </c>
      <c r="M144" s="188"/>
      <c r="N144" s="188"/>
      <c r="O144" s="192"/>
      <c r="P144" s="190"/>
      <c r="Q144" s="428" t="s">
        <v>490</v>
      </c>
      <c r="R144" s="428" t="s">
        <v>193</v>
      </c>
      <c r="S144" s="429" t="s">
        <v>516</v>
      </c>
      <c r="T144" s="430" t="s">
        <v>196</v>
      </c>
      <c r="U144" s="431"/>
      <c r="V144" s="431"/>
      <c r="W144" s="432"/>
      <c r="X144" s="433"/>
      <c r="Y144" s="430" t="s">
        <v>490</v>
      </c>
      <c r="Z144" s="430" t="s">
        <v>193</v>
      </c>
      <c r="AA144" s="434" t="s">
        <v>528</v>
      </c>
      <c r="AB144" s="434" t="s">
        <v>192</v>
      </c>
      <c r="AC144" s="431"/>
      <c r="AD144" s="431"/>
      <c r="AE144" s="432"/>
      <c r="AF144" s="435"/>
    </row>
    <row r="145" spans="1:32" ht="15" hidden="1" customHeight="1" thickBot="1" x14ac:dyDescent="0.25">
      <c r="A145" s="186" t="s">
        <v>491</v>
      </c>
      <c r="B145" s="197"/>
      <c r="C145" s="197"/>
      <c r="D145" s="192"/>
      <c r="E145" s="192"/>
      <c r="F145" s="192"/>
      <c r="G145" s="192"/>
      <c r="H145" s="192"/>
      <c r="I145" s="193" t="s">
        <v>491</v>
      </c>
      <c r="J145" s="194" t="s">
        <v>193</v>
      </c>
      <c r="K145" s="196"/>
      <c r="L145" s="188"/>
      <c r="M145" s="188"/>
      <c r="N145" s="188"/>
      <c r="O145" s="192"/>
      <c r="P145" s="190"/>
      <c r="Q145" s="428" t="s">
        <v>491</v>
      </c>
      <c r="R145" s="428"/>
      <c r="S145" s="429"/>
      <c r="T145" s="430"/>
      <c r="U145" s="431"/>
      <c r="V145" s="431"/>
      <c r="W145" s="432"/>
      <c r="X145" s="433"/>
      <c r="Y145" s="430" t="s">
        <v>491</v>
      </c>
      <c r="Z145" s="430" t="s">
        <v>193</v>
      </c>
      <c r="AA145" s="434" t="s">
        <v>529</v>
      </c>
      <c r="AB145" s="434" t="s">
        <v>196</v>
      </c>
      <c r="AC145" s="431"/>
      <c r="AD145" s="431"/>
      <c r="AE145" s="432"/>
      <c r="AF145" s="435"/>
    </row>
    <row r="146" spans="1:32" ht="15" hidden="1" customHeight="1" thickBot="1" x14ac:dyDescent="0.25">
      <c r="A146" s="186" t="s">
        <v>531</v>
      </c>
      <c r="B146" s="197"/>
      <c r="C146" s="197"/>
      <c r="D146" s="192"/>
      <c r="E146" s="192"/>
      <c r="F146" s="192"/>
      <c r="G146" s="192"/>
      <c r="H146" s="192"/>
      <c r="I146" s="193" t="s">
        <v>531</v>
      </c>
      <c r="J146" s="194"/>
      <c r="K146" s="196"/>
      <c r="L146" s="188"/>
      <c r="M146" s="188"/>
      <c r="N146" s="188"/>
      <c r="O146" s="192"/>
      <c r="P146" s="190"/>
      <c r="Q146" s="428" t="s">
        <v>531</v>
      </c>
      <c r="R146" s="428"/>
      <c r="S146" s="436"/>
      <c r="T146" s="437"/>
      <c r="U146" s="431"/>
      <c r="V146" s="431"/>
      <c r="W146" s="432"/>
      <c r="X146" s="433"/>
      <c r="Y146" s="430" t="s">
        <v>531</v>
      </c>
      <c r="Z146" s="430" t="s">
        <v>193</v>
      </c>
      <c r="AA146" s="434" t="s">
        <v>530</v>
      </c>
      <c r="AB146" s="434" t="s">
        <v>196</v>
      </c>
      <c r="AC146" s="431"/>
      <c r="AD146" s="431"/>
      <c r="AE146" s="432"/>
      <c r="AF146" s="435"/>
    </row>
    <row r="147" spans="1:32" ht="15" hidden="1" customHeight="1" thickBot="1" x14ac:dyDescent="0.25">
      <c r="A147" s="197" t="s">
        <v>469</v>
      </c>
      <c r="B147" s="197" t="s">
        <v>193</v>
      </c>
      <c r="C147" s="197" t="s">
        <v>449</v>
      </c>
      <c r="D147" s="192" t="s">
        <v>227</v>
      </c>
      <c r="E147" s="192"/>
      <c r="F147" s="192"/>
      <c r="G147" s="192"/>
      <c r="H147" s="192"/>
      <c r="I147" s="193" t="s">
        <v>469</v>
      </c>
      <c r="J147" s="194" t="s">
        <v>190</v>
      </c>
      <c r="K147" s="196" t="s">
        <v>497</v>
      </c>
      <c r="L147" s="188" t="s">
        <v>498</v>
      </c>
      <c r="M147" s="188"/>
      <c r="N147" s="188"/>
      <c r="O147" s="192"/>
      <c r="P147" s="190"/>
      <c r="Q147" s="428" t="s">
        <v>469</v>
      </c>
      <c r="R147" s="428" t="s">
        <v>193</v>
      </c>
      <c r="S147" s="434" t="s">
        <v>518</v>
      </c>
      <c r="T147" s="434" t="s">
        <v>192</v>
      </c>
      <c r="U147" s="431"/>
      <c r="V147" s="431"/>
      <c r="W147" s="432"/>
      <c r="X147" s="433"/>
      <c r="Y147" s="428" t="s">
        <v>469</v>
      </c>
      <c r="Z147" s="428" t="s">
        <v>190</v>
      </c>
      <c r="AA147" s="434" t="s">
        <v>532</v>
      </c>
      <c r="AB147" s="434" t="s">
        <v>196</v>
      </c>
      <c r="AC147" s="431"/>
      <c r="AD147" s="431"/>
      <c r="AE147" s="432"/>
      <c r="AF147" s="435"/>
    </row>
    <row r="148" spans="1:32" ht="15" hidden="1" customHeight="1" thickBot="1" x14ac:dyDescent="0.25">
      <c r="A148" s="197" t="s">
        <v>470</v>
      </c>
      <c r="B148" s="418" t="s">
        <v>193</v>
      </c>
      <c r="C148" s="418" t="s">
        <v>450</v>
      </c>
      <c r="D148" s="418" t="s">
        <v>227</v>
      </c>
      <c r="E148" s="418"/>
      <c r="F148" s="418"/>
      <c r="G148" s="418"/>
      <c r="H148" s="418"/>
      <c r="I148" s="193" t="s">
        <v>470</v>
      </c>
      <c r="J148" s="194" t="s">
        <v>190</v>
      </c>
      <c r="K148" s="196" t="s">
        <v>499</v>
      </c>
      <c r="L148" s="188" t="s">
        <v>498</v>
      </c>
      <c r="M148" s="188"/>
      <c r="N148" s="188"/>
      <c r="O148" s="192"/>
      <c r="P148" s="190"/>
      <c r="Q148" s="428" t="s">
        <v>470</v>
      </c>
      <c r="R148" s="428" t="s">
        <v>190</v>
      </c>
      <c r="S148" s="434" t="s">
        <v>519</v>
      </c>
      <c r="T148" s="434" t="s">
        <v>192</v>
      </c>
      <c r="U148" s="431"/>
      <c r="V148" s="431"/>
      <c r="W148" s="432"/>
      <c r="X148" s="433"/>
      <c r="Y148" s="428" t="s">
        <v>470</v>
      </c>
      <c r="Z148" s="428" t="s">
        <v>193</v>
      </c>
      <c r="AA148" s="434" t="s">
        <v>518</v>
      </c>
      <c r="AB148" s="434" t="s">
        <v>192</v>
      </c>
      <c r="AC148" s="431"/>
      <c r="AD148" s="431"/>
      <c r="AE148" s="432"/>
      <c r="AF148" s="435"/>
    </row>
    <row r="149" spans="1:32" ht="14.1" hidden="1" customHeight="1" thickBot="1" x14ac:dyDescent="0.25">
      <c r="A149" s="197" t="s">
        <v>471</v>
      </c>
      <c r="B149" s="418" t="s">
        <v>193</v>
      </c>
      <c r="C149" s="418" t="s">
        <v>451</v>
      </c>
      <c r="D149" s="418" t="s">
        <v>227</v>
      </c>
      <c r="E149" s="418"/>
      <c r="F149" s="418"/>
      <c r="G149" s="418"/>
      <c r="H149" s="418"/>
      <c r="I149" s="418" t="s">
        <v>471</v>
      </c>
      <c r="J149" s="418" t="s">
        <v>190</v>
      </c>
      <c r="K149" s="418" t="s">
        <v>500</v>
      </c>
      <c r="L149" s="418" t="s">
        <v>501</v>
      </c>
      <c r="M149" s="418"/>
      <c r="N149" s="418"/>
      <c r="O149" s="418"/>
      <c r="P149" s="418"/>
      <c r="Q149" s="428" t="s">
        <v>471</v>
      </c>
      <c r="R149" s="428" t="s">
        <v>193</v>
      </c>
      <c r="S149" s="434" t="s">
        <v>520</v>
      </c>
      <c r="T149" s="434" t="s">
        <v>192</v>
      </c>
      <c r="U149" s="431"/>
      <c r="V149" s="431"/>
      <c r="W149" s="432"/>
      <c r="X149" s="433"/>
      <c r="Y149" s="428" t="s">
        <v>471</v>
      </c>
      <c r="Z149" s="428" t="s">
        <v>193</v>
      </c>
      <c r="AA149" s="434" t="s">
        <v>533</v>
      </c>
      <c r="AB149" s="434" t="s">
        <v>192</v>
      </c>
      <c r="AC149" s="431"/>
      <c r="AD149" s="431"/>
      <c r="AE149" s="432"/>
      <c r="AF149" s="435"/>
    </row>
    <row r="150" spans="1:32" ht="14.1" hidden="1" customHeight="1" thickBot="1" x14ac:dyDescent="0.25">
      <c r="A150" s="197" t="s">
        <v>472</v>
      </c>
      <c r="B150" s="418" t="s">
        <v>193</v>
      </c>
      <c r="C150" s="418" t="s">
        <v>452</v>
      </c>
      <c r="D150" s="418" t="s">
        <v>192</v>
      </c>
      <c r="E150" s="418"/>
      <c r="F150" s="418"/>
      <c r="G150" s="418"/>
      <c r="H150" s="418"/>
      <c r="I150" s="418" t="s">
        <v>472</v>
      </c>
      <c r="J150" s="418" t="s">
        <v>193</v>
      </c>
      <c r="K150" s="418" t="s">
        <v>502</v>
      </c>
      <c r="L150" s="418" t="s">
        <v>464</v>
      </c>
      <c r="M150" s="418"/>
      <c r="N150" s="418"/>
      <c r="O150" s="418"/>
      <c r="P150" s="418"/>
      <c r="Q150" s="428" t="s">
        <v>472</v>
      </c>
      <c r="R150" s="430" t="s">
        <v>193</v>
      </c>
      <c r="S150" s="434" t="s">
        <v>521</v>
      </c>
      <c r="T150" s="434" t="s">
        <v>192</v>
      </c>
      <c r="U150" s="431"/>
      <c r="V150" s="431"/>
      <c r="W150" s="432"/>
      <c r="X150" s="433"/>
      <c r="Y150" s="428" t="s">
        <v>472</v>
      </c>
      <c r="Z150" s="430" t="s">
        <v>193</v>
      </c>
      <c r="AA150" s="434" t="s">
        <v>534</v>
      </c>
      <c r="AB150" s="434" t="s">
        <v>192</v>
      </c>
      <c r="AC150" s="431"/>
      <c r="AD150" s="431"/>
      <c r="AE150" s="432"/>
      <c r="AF150" s="435"/>
    </row>
    <row r="151" spans="1:32" ht="14.1" hidden="1" customHeight="1" thickBot="1" x14ac:dyDescent="0.25">
      <c r="A151" s="197" t="s">
        <v>473</v>
      </c>
      <c r="B151" s="418" t="s">
        <v>193</v>
      </c>
      <c r="C151" s="418" t="s">
        <v>453</v>
      </c>
      <c r="D151" s="418" t="s">
        <v>192</v>
      </c>
      <c r="E151" s="418"/>
      <c r="F151" s="418"/>
      <c r="G151" s="418"/>
      <c r="H151" s="418"/>
      <c r="I151" s="418" t="s">
        <v>473</v>
      </c>
      <c r="J151" s="418" t="s">
        <v>193</v>
      </c>
      <c r="K151" s="418" t="s">
        <v>463</v>
      </c>
      <c r="L151" s="418" t="s">
        <v>464</v>
      </c>
      <c r="M151" s="418"/>
      <c r="N151" s="418"/>
      <c r="O151" s="418"/>
      <c r="P151" s="418"/>
      <c r="Q151" s="428" t="s">
        <v>473</v>
      </c>
      <c r="R151" s="430" t="s">
        <v>193</v>
      </c>
      <c r="S151" s="434" t="s">
        <v>522</v>
      </c>
      <c r="T151" s="434" t="s">
        <v>192</v>
      </c>
      <c r="U151" s="431"/>
      <c r="V151" s="431"/>
      <c r="W151" s="432"/>
      <c r="X151" s="433"/>
      <c r="Y151" s="428" t="s">
        <v>473</v>
      </c>
      <c r="Z151" s="430" t="s">
        <v>193</v>
      </c>
      <c r="AA151" s="434" t="s">
        <v>521</v>
      </c>
      <c r="AB151" s="434" t="s">
        <v>192</v>
      </c>
      <c r="AC151" s="431"/>
      <c r="AD151" s="431"/>
      <c r="AE151" s="432"/>
      <c r="AF151" s="435"/>
    </row>
    <row r="152" spans="1:32" ht="14.1" hidden="1" customHeight="1" thickBot="1" x14ac:dyDescent="0.25">
      <c r="A152" s="197" t="s">
        <v>474</v>
      </c>
      <c r="B152" s="418" t="s">
        <v>193</v>
      </c>
      <c r="C152" s="418" t="s">
        <v>454</v>
      </c>
      <c r="D152" s="418" t="s">
        <v>192</v>
      </c>
      <c r="E152" s="418"/>
      <c r="F152" s="418"/>
      <c r="G152" s="418"/>
      <c r="H152" s="418"/>
      <c r="I152" s="418" t="s">
        <v>474</v>
      </c>
      <c r="J152" s="418" t="s">
        <v>193</v>
      </c>
      <c r="K152" s="418" t="s">
        <v>503</v>
      </c>
      <c r="L152" s="418" t="s">
        <v>446</v>
      </c>
      <c r="M152" s="418"/>
      <c r="N152" s="418"/>
      <c r="O152" s="418"/>
      <c r="P152" s="418"/>
      <c r="Q152" s="428" t="s">
        <v>474</v>
      </c>
      <c r="R152" s="430" t="s">
        <v>193</v>
      </c>
      <c r="S152" s="434" t="s">
        <v>523</v>
      </c>
      <c r="T152" s="434" t="s">
        <v>192</v>
      </c>
      <c r="U152" s="431"/>
      <c r="V152" s="431"/>
      <c r="W152" s="432"/>
      <c r="X152" s="433"/>
      <c r="Y152" s="428" t="s">
        <v>474</v>
      </c>
      <c r="Z152" s="430" t="s">
        <v>193</v>
      </c>
      <c r="AA152" s="434" t="s">
        <v>535</v>
      </c>
      <c r="AB152" s="434" t="s">
        <v>192</v>
      </c>
      <c r="AC152" s="431"/>
      <c r="AD152" s="431"/>
      <c r="AE152" s="432"/>
      <c r="AF152" s="435"/>
    </row>
    <row r="153" spans="1:32" ht="14.1" hidden="1" customHeight="1" thickBot="1" x14ac:dyDescent="0.25">
      <c r="A153" s="197" t="s">
        <v>475</v>
      </c>
      <c r="B153" s="418" t="s">
        <v>193</v>
      </c>
      <c r="C153" s="418" t="s">
        <v>455</v>
      </c>
      <c r="D153" s="418" t="s">
        <v>192</v>
      </c>
      <c r="E153" s="418"/>
      <c r="F153" s="418"/>
      <c r="G153" s="418"/>
      <c r="H153" s="418"/>
      <c r="I153" s="418" t="s">
        <v>475</v>
      </c>
      <c r="J153" s="418" t="s">
        <v>193</v>
      </c>
      <c r="K153" s="418" t="s">
        <v>504</v>
      </c>
      <c r="L153" s="418" t="s">
        <v>446</v>
      </c>
      <c r="M153" s="418"/>
      <c r="N153" s="418"/>
      <c r="O153" s="418"/>
      <c r="P153" s="418"/>
      <c r="Q153" s="430" t="s">
        <v>475</v>
      </c>
      <c r="R153" s="430" t="s">
        <v>193</v>
      </c>
      <c r="S153" s="434" t="s">
        <v>524</v>
      </c>
      <c r="T153" s="434" t="s">
        <v>192</v>
      </c>
      <c r="U153" s="431"/>
      <c r="V153" s="431"/>
      <c r="W153" s="432"/>
      <c r="X153" s="433"/>
      <c r="Y153" s="430" t="s">
        <v>475</v>
      </c>
      <c r="Z153" s="430" t="s">
        <v>193</v>
      </c>
      <c r="AA153" s="434" t="s">
        <v>536</v>
      </c>
      <c r="AB153" s="434" t="s">
        <v>192</v>
      </c>
      <c r="AC153" s="431"/>
      <c r="AD153" s="431"/>
      <c r="AE153" s="432"/>
      <c r="AF153" s="435"/>
    </row>
    <row r="154" spans="1:32" ht="14.1" hidden="1" customHeight="1" thickBot="1" x14ac:dyDescent="0.25">
      <c r="A154" s="197" t="s">
        <v>476</v>
      </c>
      <c r="B154" s="418" t="s">
        <v>193</v>
      </c>
      <c r="C154" s="418" t="s">
        <v>456</v>
      </c>
      <c r="D154" s="418" t="s">
        <v>192</v>
      </c>
      <c r="E154" s="418"/>
      <c r="F154" s="418"/>
      <c r="G154" s="418"/>
      <c r="H154" s="418"/>
      <c r="I154" s="418" t="s">
        <v>476</v>
      </c>
      <c r="J154" s="418" t="s">
        <v>190</v>
      </c>
      <c r="K154" s="418" t="s">
        <v>505</v>
      </c>
      <c r="L154" s="418" t="s">
        <v>192</v>
      </c>
      <c r="M154" s="418"/>
      <c r="N154" s="418"/>
      <c r="O154" s="418"/>
      <c r="P154" s="418"/>
      <c r="Q154" s="428" t="s">
        <v>476</v>
      </c>
      <c r="R154" s="430"/>
      <c r="S154" s="429"/>
      <c r="T154" s="430"/>
      <c r="U154" s="431"/>
      <c r="V154" s="431"/>
      <c r="W154" s="432"/>
      <c r="X154" s="433"/>
      <c r="Y154" s="428" t="s">
        <v>476</v>
      </c>
      <c r="Z154" s="430" t="s">
        <v>193</v>
      </c>
      <c r="AA154" s="434" t="s">
        <v>537</v>
      </c>
      <c r="AB154" s="434" t="s">
        <v>192</v>
      </c>
      <c r="AC154" s="431"/>
      <c r="AD154" s="431"/>
      <c r="AE154" s="432"/>
      <c r="AF154" s="435"/>
    </row>
    <row r="155" spans="1:32" ht="14.1" hidden="1" customHeight="1" thickBot="1" x14ac:dyDescent="0.25">
      <c r="A155" s="197" t="s">
        <v>477</v>
      </c>
      <c r="B155" s="418" t="s">
        <v>193</v>
      </c>
      <c r="C155" s="418" t="s">
        <v>457</v>
      </c>
      <c r="D155" s="418" t="s">
        <v>227</v>
      </c>
      <c r="E155" s="418"/>
      <c r="F155" s="418"/>
      <c r="G155" s="418"/>
      <c r="H155" s="418"/>
      <c r="I155" s="418" t="s">
        <v>477</v>
      </c>
      <c r="J155" s="418" t="s">
        <v>193</v>
      </c>
      <c r="K155" s="418" t="s">
        <v>506</v>
      </c>
      <c r="L155" s="418" t="s">
        <v>227</v>
      </c>
      <c r="M155" s="418"/>
      <c r="N155" s="418"/>
      <c r="O155" s="418"/>
      <c r="P155" s="418"/>
      <c r="Q155" s="428" t="s">
        <v>477</v>
      </c>
      <c r="R155" s="430"/>
      <c r="S155" s="429"/>
      <c r="T155" s="430"/>
      <c r="U155" s="431"/>
      <c r="V155" s="431"/>
      <c r="W155" s="432"/>
      <c r="X155" s="433"/>
      <c r="Y155" s="428" t="s">
        <v>477</v>
      </c>
      <c r="Z155" s="430" t="s">
        <v>193</v>
      </c>
      <c r="AA155" s="434" t="s">
        <v>538</v>
      </c>
      <c r="AB155" s="434" t="s">
        <v>192</v>
      </c>
      <c r="AC155" s="431"/>
      <c r="AD155" s="431"/>
      <c r="AE155" s="432"/>
      <c r="AF155" s="435"/>
    </row>
    <row r="156" spans="1:32" ht="14.1" hidden="1" customHeight="1" thickBot="1" x14ac:dyDescent="0.25">
      <c r="A156" s="197" t="s">
        <v>478</v>
      </c>
      <c r="B156" s="418" t="s">
        <v>193</v>
      </c>
      <c r="C156" s="418" t="s">
        <v>458</v>
      </c>
      <c r="D156" s="418" t="s">
        <v>446</v>
      </c>
      <c r="E156" s="418"/>
      <c r="F156" s="418"/>
      <c r="G156" s="418"/>
      <c r="H156" s="418"/>
      <c r="I156" s="418" t="s">
        <v>478</v>
      </c>
      <c r="J156" s="418" t="s">
        <v>193</v>
      </c>
      <c r="K156" s="418" t="s">
        <v>507</v>
      </c>
      <c r="L156" s="418" t="s">
        <v>446</v>
      </c>
      <c r="M156" s="418"/>
      <c r="N156" s="418"/>
      <c r="O156" s="418"/>
      <c r="P156" s="418"/>
      <c r="Q156" s="428" t="s">
        <v>478</v>
      </c>
      <c r="R156" s="430"/>
      <c r="S156" s="429"/>
      <c r="T156" s="430"/>
      <c r="U156" s="431"/>
      <c r="V156" s="431"/>
      <c r="W156" s="432"/>
      <c r="X156" s="433"/>
      <c r="Y156" s="428" t="s">
        <v>478</v>
      </c>
      <c r="Z156" s="430" t="s">
        <v>193</v>
      </c>
      <c r="AA156" s="434" t="s">
        <v>539</v>
      </c>
      <c r="AB156" s="434" t="s">
        <v>192</v>
      </c>
      <c r="AC156" s="431"/>
      <c r="AD156" s="431"/>
      <c r="AE156" s="432"/>
      <c r="AF156" s="435"/>
    </row>
    <row r="157" spans="1:32" ht="14.1" hidden="1" customHeight="1" thickBot="1" x14ac:dyDescent="0.25">
      <c r="A157" s="197" t="s">
        <v>479</v>
      </c>
      <c r="B157" s="418" t="s">
        <v>193</v>
      </c>
      <c r="C157" s="418" t="s">
        <v>459</v>
      </c>
      <c r="D157" s="418" t="s">
        <v>192</v>
      </c>
      <c r="E157" s="418"/>
      <c r="F157" s="418"/>
      <c r="G157" s="418"/>
      <c r="H157" s="418"/>
      <c r="I157" s="418" t="s">
        <v>479</v>
      </c>
      <c r="J157" s="418" t="s">
        <v>193</v>
      </c>
      <c r="K157" s="418" t="s">
        <v>508</v>
      </c>
      <c r="L157" s="418" t="s">
        <v>446</v>
      </c>
      <c r="M157" s="418"/>
      <c r="N157" s="418"/>
      <c r="O157" s="418"/>
      <c r="P157" s="418"/>
      <c r="Q157" s="428" t="s">
        <v>479</v>
      </c>
      <c r="R157" s="430"/>
      <c r="S157" s="429"/>
      <c r="T157" s="430"/>
      <c r="U157" s="431"/>
      <c r="V157" s="431"/>
      <c r="W157" s="432"/>
      <c r="X157" s="433"/>
      <c r="Y157" s="428" t="s">
        <v>479</v>
      </c>
      <c r="Z157" s="430" t="s">
        <v>193</v>
      </c>
      <c r="AA157" s="434" t="s">
        <v>540</v>
      </c>
      <c r="AB157" s="434" t="s">
        <v>192</v>
      </c>
      <c r="AC157" s="431"/>
      <c r="AD157" s="431"/>
      <c r="AE157" s="432"/>
      <c r="AF157" s="435"/>
    </row>
    <row r="158" spans="1:32" ht="14.1" hidden="1" customHeight="1" thickBot="1" x14ac:dyDescent="0.25">
      <c r="A158" s="197" t="s">
        <v>480</v>
      </c>
      <c r="B158" s="418" t="s">
        <v>193</v>
      </c>
      <c r="C158" s="418" t="s">
        <v>460</v>
      </c>
      <c r="D158" s="418" t="s">
        <v>192</v>
      </c>
      <c r="E158" s="418"/>
      <c r="F158" s="418"/>
      <c r="G158" s="418"/>
      <c r="H158" s="418"/>
      <c r="I158" s="418" t="s">
        <v>480</v>
      </c>
      <c r="J158" s="418" t="s">
        <v>193</v>
      </c>
      <c r="K158" s="418" t="s">
        <v>465</v>
      </c>
      <c r="L158" s="418" t="s">
        <v>446</v>
      </c>
      <c r="M158" s="418"/>
      <c r="N158" s="418"/>
      <c r="O158" s="418"/>
      <c r="P158" s="418"/>
      <c r="Q158" s="428" t="s">
        <v>480</v>
      </c>
      <c r="R158" s="430"/>
      <c r="S158" s="429"/>
      <c r="T158" s="430"/>
      <c r="U158" s="431"/>
      <c r="V158" s="431"/>
      <c r="W158" s="432"/>
      <c r="X158" s="433"/>
      <c r="Y158" s="428" t="s">
        <v>480</v>
      </c>
      <c r="Z158" s="430" t="s">
        <v>193</v>
      </c>
      <c r="AA158" s="434" t="s">
        <v>541</v>
      </c>
      <c r="AB158" s="434" t="s">
        <v>192</v>
      </c>
      <c r="AC158" s="431"/>
      <c r="AD158" s="431"/>
      <c r="AE158" s="432"/>
      <c r="AF158" s="435"/>
    </row>
    <row r="159" spans="1:32" ht="14.1" hidden="1" customHeight="1" thickBot="1" x14ac:dyDescent="0.25">
      <c r="A159" s="197" t="s">
        <v>481</v>
      </c>
      <c r="B159" s="418" t="s">
        <v>193</v>
      </c>
      <c r="C159" s="418" t="s">
        <v>461</v>
      </c>
      <c r="D159" s="418" t="s">
        <v>192</v>
      </c>
      <c r="E159" s="418"/>
      <c r="F159" s="418"/>
      <c r="G159" s="418"/>
      <c r="H159" s="418"/>
      <c r="I159" s="418" t="s">
        <v>481</v>
      </c>
      <c r="J159" s="418" t="s">
        <v>193</v>
      </c>
      <c r="K159" s="418" t="s">
        <v>466</v>
      </c>
      <c r="L159" s="418" t="s">
        <v>192</v>
      </c>
      <c r="M159" s="418"/>
      <c r="N159" s="418"/>
      <c r="O159" s="418"/>
      <c r="P159" s="418"/>
      <c r="Q159" s="428" t="s">
        <v>481</v>
      </c>
      <c r="R159" s="430"/>
      <c r="S159" s="429"/>
      <c r="T159" s="430"/>
      <c r="U159" s="431"/>
      <c r="V159" s="431"/>
      <c r="W159" s="432"/>
      <c r="X159" s="433"/>
      <c r="Y159" s="428" t="s">
        <v>481</v>
      </c>
      <c r="Z159" s="430" t="s">
        <v>193</v>
      </c>
      <c r="AA159" s="434" t="s">
        <v>542</v>
      </c>
      <c r="AB159" s="434" t="s">
        <v>192</v>
      </c>
      <c r="AC159" s="431"/>
      <c r="AD159" s="431"/>
      <c r="AE159" s="432"/>
      <c r="AF159" s="435"/>
    </row>
    <row r="160" spans="1:32" ht="14.1" hidden="1" customHeight="1" thickBot="1" x14ac:dyDescent="0.25">
      <c r="A160" s="197" t="s">
        <v>482</v>
      </c>
      <c r="B160" s="418" t="s">
        <v>193</v>
      </c>
      <c r="C160" s="418" t="s">
        <v>462</v>
      </c>
      <c r="D160" s="418" t="s">
        <v>192</v>
      </c>
      <c r="E160" s="418"/>
      <c r="F160" s="418"/>
      <c r="G160" s="418"/>
      <c r="H160" s="418"/>
      <c r="I160" s="418" t="s">
        <v>482</v>
      </c>
      <c r="J160" s="418" t="s">
        <v>193</v>
      </c>
      <c r="K160" s="418" t="s">
        <v>509</v>
      </c>
      <c r="L160" s="418" t="s">
        <v>446</v>
      </c>
      <c r="M160" s="418"/>
      <c r="N160" s="418"/>
      <c r="O160" s="418"/>
      <c r="P160" s="418"/>
      <c r="Q160" s="428" t="s">
        <v>482</v>
      </c>
      <c r="R160" s="430"/>
      <c r="S160" s="429"/>
      <c r="T160" s="430"/>
      <c r="U160" s="431"/>
      <c r="V160" s="431"/>
      <c r="W160" s="432"/>
      <c r="X160" s="433"/>
      <c r="Y160" s="428" t="s">
        <v>482</v>
      </c>
      <c r="Z160" s="430" t="s">
        <v>193</v>
      </c>
      <c r="AA160" s="434" t="s">
        <v>543</v>
      </c>
      <c r="AB160" s="434" t="s">
        <v>192</v>
      </c>
      <c r="AC160" s="438"/>
      <c r="AD160" s="438"/>
      <c r="AE160" s="438"/>
      <c r="AF160" s="438"/>
    </row>
    <row r="161" spans="1:32" ht="14.1" hidden="1" customHeight="1" thickBot="1" x14ac:dyDescent="0.25">
      <c r="A161" s="197" t="s">
        <v>483</v>
      </c>
      <c r="B161" s="418" t="s">
        <v>193</v>
      </c>
      <c r="C161" s="418" t="s">
        <v>463</v>
      </c>
      <c r="D161" s="418" t="s">
        <v>464</v>
      </c>
      <c r="E161" s="418"/>
      <c r="F161" s="418"/>
      <c r="G161" s="418"/>
      <c r="H161" s="418"/>
      <c r="I161" s="418" t="s">
        <v>483</v>
      </c>
      <c r="J161" s="418" t="s">
        <v>193</v>
      </c>
      <c r="K161" s="418" t="s">
        <v>510</v>
      </c>
      <c r="L161" s="418" t="s">
        <v>192</v>
      </c>
      <c r="M161" s="418"/>
      <c r="N161" s="418"/>
      <c r="O161" s="418"/>
      <c r="P161" s="418"/>
      <c r="Q161" s="428" t="s">
        <v>483</v>
      </c>
      <c r="R161" s="430"/>
      <c r="S161" s="429"/>
      <c r="T161" s="430"/>
      <c r="U161" s="431"/>
      <c r="V161" s="431"/>
      <c r="W161" s="432"/>
      <c r="X161" s="433"/>
      <c r="Y161" s="428" t="s">
        <v>483</v>
      </c>
      <c r="Z161" s="430" t="s">
        <v>193</v>
      </c>
      <c r="AA161" s="434" t="s">
        <v>544</v>
      </c>
      <c r="AB161" s="434" t="s">
        <v>192</v>
      </c>
      <c r="AC161" s="438"/>
      <c r="AD161" s="438"/>
      <c r="AE161" s="438"/>
      <c r="AF161" s="438"/>
    </row>
    <row r="162" spans="1:32" ht="14.1" hidden="1" customHeight="1" thickBot="1" x14ac:dyDescent="0.25">
      <c r="A162" s="197" t="s">
        <v>484</v>
      </c>
      <c r="B162" s="418" t="s">
        <v>193</v>
      </c>
      <c r="C162" s="418" t="s">
        <v>465</v>
      </c>
      <c r="D162" s="418" t="s">
        <v>446</v>
      </c>
      <c r="E162" s="418"/>
      <c r="F162" s="418"/>
      <c r="G162" s="418"/>
      <c r="H162" s="418"/>
      <c r="I162" s="418" t="s">
        <v>484</v>
      </c>
      <c r="J162" s="418" t="s">
        <v>193</v>
      </c>
      <c r="K162" s="418" t="s">
        <v>511</v>
      </c>
      <c r="L162" s="418" t="s">
        <v>192</v>
      </c>
      <c r="M162" s="418"/>
      <c r="N162" s="418"/>
      <c r="O162" s="418"/>
      <c r="P162" s="418"/>
      <c r="Q162" s="428" t="s">
        <v>484</v>
      </c>
      <c r="R162" s="430"/>
      <c r="S162" s="429"/>
      <c r="T162" s="430"/>
      <c r="U162" s="431"/>
      <c r="V162" s="431"/>
      <c r="W162" s="432"/>
      <c r="X162" s="433"/>
      <c r="Y162" s="428" t="s">
        <v>484</v>
      </c>
      <c r="Z162" s="430" t="s">
        <v>193</v>
      </c>
      <c r="AA162" s="434" t="s">
        <v>545</v>
      </c>
      <c r="AB162" s="434" t="s">
        <v>192</v>
      </c>
      <c r="AC162" s="438"/>
      <c r="AD162" s="438"/>
      <c r="AE162" s="438"/>
      <c r="AF162" s="438"/>
    </row>
    <row r="163" spans="1:32" ht="14.1" hidden="1" customHeight="1" thickBot="1" x14ac:dyDescent="0.25">
      <c r="A163" s="197" t="s">
        <v>485</v>
      </c>
      <c r="B163" s="418" t="s">
        <v>193</v>
      </c>
      <c r="C163" s="418" t="s">
        <v>466</v>
      </c>
      <c r="D163" s="418" t="s">
        <v>192</v>
      </c>
      <c r="E163" s="418"/>
      <c r="F163" s="418"/>
      <c r="G163" s="418"/>
      <c r="H163" s="418"/>
      <c r="I163" s="418" t="s">
        <v>485</v>
      </c>
      <c r="J163" s="418"/>
      <c r="K163" s="418"/>
      <c r="L163" s="418"/>
      <c r="M163" s="418"/>
      <c r="N163" s="418"/>
      <c r="O163" s="418"/>
      <c r="P163" s="418"/>
      <c r="Q163" s="428" t="s">
        <v>485</v>
      </c>
      <c r="R163" s="430"/>
      <c r="S163" s="429"/>
      <c r="T163" s="430"/>
      <c r="U163" s="431"/>
      <c r="V163" s="431"/>
      <c r="W163" s="432"/>
      <c r="X163" s="433"/>
      <c r="Y163" s="428" t="s">
        <v>485</v>
      </c>
      <c r="Z163" s="430" t="s">
        <v>193</v>
      </c>
      <c r="AA163" s="434" t="s">
        <v>546</v>
      </c>
      <c r="AB163" s="434" t="s">
        <v>192</v>
      </c>
      <c r="AC163" s="438"/>
      <c r="AD163" s="438"/>
      <c r="AE163" s="438"/>
      <c r="AF163" s="438"/>
    </row>
    <row r="164" spans="1:32" ht="14.1" hidden="1" customHeight="1" thickBot="1" x14ac:dyDescent="0.25">
      <c r="A164" s="197" t="s">
        <v>486</v>
      </c>
      <c r="B164" s="418" t="s">
        <v>193</v>
      </c>
      <c r="C164" s="418" t="s">
        <v>467</v>
      </c>
      <c r="D164" s="418" t="s">
        <v>446</v>
      </c>
      <c r="E164" s="418"/>
      <c r="F164" s="418"/>
      <c r="G164" s="418"/>
      <c r="H164" s="418"/>
      <c r="I164" s="418" t="s">
        <v>486</v>
      </c>
      <c r="J164" s="418"/>
      <c r="K164" s="418"/>
      <c r="L164" s="418"/>
      <c r="M164" s="418"/>
      <c r="N164" s="418"/>
      <c r="O164" s="418"/>
      <c r="P164" s="418"/>
      <c r="Q164" s="428" t="s">
        <v>486</v>
      </c>
      <c r="R164" s="430"/>
      <c r="S164" s="429"/>
      <c r="T164" s="430"/>
      <c r="U164" s="431"/>
      <c r="V164" s="431"/>
      <c r="W164" s="432"/>
      <c r="X164" s="433"/>
      <c r="Y164" s="428" t="s">
        <v>486</v>
      </c>
      <c r="Z164" s="430"/>
      <c r="AA164" s="438"/>
      <c r="AB164" s="438"/>
      <c r="AC164" s="438"/>
      <c r="AD164" s="438"/>
      <c r="AE164" s="438"/>
      <c r="AF164" s="438"/>
    </row>
    <row r="165" spans="1:32" ht="13.5" hidden="1" thickBot="1" x14ac:dyDescent="0.25">
      <c r="A165" s="418"/>
      <c r="B165" s="418"/>
      <c r="C165" s="418"/>
      <c r="D165" s="418"/>
      <c r="E165" s="418"/>
      <c r="F165" s="418"/>
      <c r="G165" s="418"/>
      <c r="H165" s="418"/>
      <c r="I165" s="418"/>
      <c r="J165" s="418"/>
      <c r="K165" s="418"/>
      <c r="L165" s="418"/>
      <c r="M165" s="418"/>
      <c r="N165" s="418"/>
      <c r="O165" s="418"/>
      <c r="P165" s="418"/>
      <c r="Q165" s="438"/>
      <c r="R165" s="438"/>
      <c r="S165" s="438"/>
      <c r="T165" s="438"/>
      <c r="U165" s="438"/>
      <c r="V165" s="438"/>
      <c r="W165" s="438"/>
      <c r="X165" s="438"/>
      <c r="Y165" s="438"/>
      <c r="Z165" s="438"/>
      <c r="AA165" s="438"/>
      <c r="AB165" s="438"/>
      <c r="AC165" s="438"/>
      <c r="AD165" s="438"/>
      <c r="AE165" s="438"/>
      <c r="AF165" s="438"/>
    </row>
    <row r="166" spans="1:32" ht="13.5" hidden="1" thickBot="1" x14ac:dyDescent="0.25">
      <c r="A166" s="182" t="s">
        <v>414</v>
      </c>
      <c r="B166" s="418" t="s">
        <v>58</v>
      </c>
      <c r="C166" s="407" t="s">
        <v>492</v>
      </c>
      <c r="D166" s="183"/>
      <c r="E166" s="183"/>
      <c r="F166" s="183"/>
      <c r="G166" s="183"/>
      <c r="H166" s="183"/>
      <c r="I166" s="418"/>
      <c r="J166" s="418"/>
      <c r="K166" s="418"/>
      <c r="L166" s="418"/>
      <c r="M166" s="418"/>
      <c r="N166" s="418"/>
      <c r="O166" s="418"/>
      <c r="P166" s="418"/>
      <c r="Q166" s="438"/>
      <c r="R166" s="438"/>
      <c r="S166" s="438"/>
      <c r="T166" s="438"/>
      <c r="U166" s="438"/>
      <c r="V166" s="438"/>
      <c r="W166" s="438"/>
      <c r="X166" s="438"/>
      <c r="Y166" s="438"/>
      <c r="Z166" s="438"/>
      <c r="AA166" s="438"/>
      <c r="AB166" s="438"/>
      <c r="AC166" s="438"/>
      <c r="AD166" s="438"/>
      <c r="AE166" s="438"/>
      <c r="AF166" s="438"/>
    </row>
    <row r="167" spans="1:32" ht="39" hidden="1" thickBot="1" x14ac:dyDescent="0.25">
      <c r="A167" s="186" t="s">
        <v>487</v>
      </c>
      <c r="B167" s="187" t="s">
        <v>190</v>
      </c>
      <c r="C167" s="191" t="s">
        <v>493</v>
      </c>
      <c r="D167" s="188" t="s">
        <v>192</v>
      </c>
      <c r="E167" s="188"/>
      <c r="F167" s="188"/>
      <c r="G167" s="189"/>
      <c r="H167" s="190"/>
      <c r="I167" s="418"/>
      <c r="J167" s="418"/>
      <c r="K167" s="418"/>
      <c r="L167" s="418"/>
      <c r="M167" s="418"/>
      <c r="N167" s="418"/>
      <c r="O167" s="418"/>
      <c r="P167" s="418"/>
      <c r="Q167" s="438"/>
      <c r="R167" s="438"/>
      <c r="S167" s="438"/>
      <c r="T167" s="438"/>
      <c r="U167" s="438"/>
      <c r="V167" s="438"/>
      <c r="W167" s="438"/>
      <c r="X167" s="438"/>
      <c r="Y167" s="439"/>
      <c r="Z167" s="439"/>
      <c r="AA167" s="439"/>
      <c r="AB167" s="439"/>
      <c r="AC167" s="418"/>
      <c r="AD167" s="418"/>
      <c r="AE167" s="418"/>
      <c r="AF167" s="418"/>
    </row>
    <row r="168" spans="1:32" ht="26.25" hidden="1" thickBot="1" x14ac:dyDescent="0.25">
      <c r="A168" s="186" t="s">
        <v>488</v>
      </c>
      <c r="B168" s="187" t="s">
        <v>193</v>
      </c>
      <c r="C168" s="191" t="s">
        <v>494</v>
      </c>
      <c r="D168" s="188" t="s">
        <v>446</v>
      </c>
      <c r="E168" s="188"/>
      <c r="F168" s="188"/>
      <c r="G168" s="189"/>
      <c r="H168" s="190"/>
      <c r="X168" s="410"/>
      <c r="Y168" s="410"/>
      <c r="Z168" s="410"/>
      <c r="AA168" s="410"/>
      <c r="AB168" s="410"/>
    </row>
    <row r="169" spans="1:32" ht="26.25" hidden="1" thickBot="1" x14ac:dyDescent="0.25">
      <c r="A169" s="193" t="s">
        <v>489</v>
      </c>
      <c r="B169" s="194" t="s">
        <v>193</v>
      </c>
      <c r="C169" s="196" t="s">
        <v>495</v>
      </c>
      <c r="D169" s="188" t="s">
        <v>132</v>
      </c>
      <c r="E169" s="188"/>
      <c r="F169" s="188"/>
      <c r="G169" s="192"/>
      <c r="H169" s="190"/>
      <c r="X169" s="410"/>
      <c r="Y169" s="410"/>
      <c r="Z169" s="410"/>
      <c r="AA169" s="410"/>
      <c r="AB169" s="410"/>
    </row>
    <row r="170" spans="1:32" ht="26.25" hidden="1" thickBot="1" x14ac:dyDescent="0.25">
      <c r="A170" s="193" t="s">
        <v>490</v>
      </c>
      <c r="B170" s="194" t="s">
        <v>193</v>
      </c>
      <c r="C170" s="196" t="s">
        <v>496</v>
      </c>
      <c r="D170" s="188" t="s">
        <v>192</v>
      </c>
      <c r="E170" s="188"/>
      <c r="F170" s="188"/>
      <c r="G170" s="192"/>
      <c r="H170" s="190"/>
      <c r="X170" s="410"/>
    </row>
    <row r="171" spans="1:32" ht="13.5" hidden="1" thickBot="1" x14ac:dyDescent="0.25">
      <c r="A171" s="193" t="s">
        <v>491</v>
      </c>
      <c r="B171" s="194" t="s">
        <v>193</v>
      </c>
      <c r="C171" s="196"/>
      <c r="D171" s="188"/>
      <c r="E171" s="188"/>
      <c r="F171" s="188"/>
      <c r="G171" s="192"/>
      <c r="H171" s="190"/>
    </row>
    <row r="172" spans="1:32" ht="13.5" hidden="1" thickBot="1" x14ac:dyDescent="0.25">
      <c r="A172" s="193" t="s">
        <v>531</v>
      </c>
      <c r="B172" s="194"/>
      <c r="C172" s="196"/>
      <c r="D172" s="188"/>
      <c r="E172" s="188"/>
      <c r="F172" s="188"/>
      <c r="G172" s="192"/>
      <c r="H172" s="190"/>
    </row>
    <row r="173" spans="1:32" ht="26.25" hidden="1" thickBot="1" x14ac:dyDescent="0.25">
      <c r="A173" s="193" t="s">
        <v>469</v>
      </c>
      <c r="B173" s="194" t="s">
        <v>190</v>
      </c>
      <c r="C173" s="196" t="s">
        <v>497</v>
      </c>
      <c r="D173" s="188" t="s">
        <v>498</v>
      </c>
      <c r="E173" s="188"/>
      <c r="F173" s="188"/>
      <c r="G173" s="192"/>
      <c r="H173" s="190"/>
    </row>
    <row r="174" spans="1:32" ht="26.25" hidden="1" thickBot="1" x14ac:dyDescent="0.25">
      <c r="A174" s="193" t="s">
        <v>470</v>
      </c>
      <c r="B174" s="194" t="s">
        <v>190</v>
      </c>
      <c r="C174" s="196" t="s">
        <v>499</v>
      </c>
      <c r="D174" s="188" t="s">
        <v>498</v>
      </c>
      <c r="E174" s="188"/>
      <c r="F174" s="188"/>
      <c r="G174" s="192"/>
      <c r="H174" s="190"/>
    </row>
    <row r="175" spans="1:32" hidden="1" x14ac:dyDescent="0.2">
      <c r="A175" s="418" t="s">
        <v>471</v>
      </c>
      <c r="B175" s="418" t="s">
        <v>190</v>
      </c>
      <c r="C175" s="418" t="s">
        <v>500</v>
      </c>
      <c r="D175" s="418" t="s">
        <v>501</v>
      </c>
      <c r="E175" s="418"/>
      <c r="F175" s="418"/>
      <c r="G175" s="418"/>
      <c r="H175" s="418"/>
    </row>
    <row r="176" spans="1:32" hidden="1" x14ac:dyDescent="0.2">
      <c r="A176" s="418" t="s">
        <v>472</v>
      </c>
      <c r="B176" s="418" t="s">
        <v>193</v>
      </c>
      <c r="C176" s="418" t="s">
        <v>502</v>
      </c>
      <c r="D176" s="418" t="s">
        <v>464</v>
      </c>
      <c r="E176" s="418"/>
      <c r="F176" s="418"/>
      <c r="G176" s="418"/>
      <c r="H176" s="418"/>
    </row>
    <row r="177" spans="1:8" hidden="1" x14ac:dyDescent="0.2">
      <c r="A177" s="418" t="s">
        <v>473</v>
      </c>
      <c r="B177" s="418" t="s">
        <v>193</v>
      </c>
      <c r="C177" s="418" t="s">
        <v>463</v>
      </c>
      <c r="D177" s="418" t="s">
        <v>464</v>
      </c>
      <c r="E177" s="418"/>
      <c r="F177" s="418"/>
      <c r="G177" s="418"/>
      <c r="H177" s="418"/>
    </row>
    <row r="178" spans="1:8" hidden="1" x14ac:dyDescent="0.2">
      <c r="A178" s="418" t="s">
        <v>474</v>
      </c>
      <c r="B178" s="418" t="s">
        <v>193</v>
      </c>
      <c r="C178" s="418" t="s">
        <v>503</v>
      </c>
      <c r="D178" s="418" t="s">
        <v>446</v>
      </c>
      <c r="E178" s="418"/>
      <c r="F178" s="418"/>
      <c r="G178" s="418"/>
      <c r="H178" s="418"/>
    </row>
    <row r="179" spans="1:8" hidden="1" x14ac:dyDescent="0.2">
      <c r="A179" s="418" t="s">
        <v>475</v>
      </c>
      <c r="B179" s="418" t="s">
        <v>193</v>
      </c>
      <c r="C179" s="418" t="s">
        <v>504</v>
      </c>
      <c r="D179" s="418" t="s">
        <v>446</v>
      </c>
      <c r="E179" s="418"/>
      <c r="F179" s="418"/>
      <c r="G179" s="418"/>
      <c r="H179" s="418"/>
    </row>
    <row r="180" spans="1:8" hidden="1" x14ac:dyDescent="0.2">
      <c r="A180" s="418" t="s">
        <v>476</v>
      </c>
      <c r="B180" s="418" t="s">
        <v>190</v>
      </c>
      <c r="C180" s="418" t="s">
        <v>505</v>
      </c>
      <c r="D180" s="418" t="s">
        <v>192</v>
      </c>
      <c r="E180" s="418"/>
      <c r="F180" s="418"/>
      <c r="G180" s="418"/>
      <c r="H180" s="418"/>
    </row>
    <row r="181" spans="1:8" hidden="1" x14ac:dyDescent="0.2">
      <c r="A181" s="418" t="s">
        <v>477</v>
      </c>
      <c r="B181" s="418" t="s">
        <v>193</v>
      </c>
      <c r="C181" s="418" t="s">
        <v>506</v>
      </c>
      <c r="D181" s="418" t="s">
        <v>227</v>
      </c>
      <c r="E181" s="418"/>
      <c r="F181" s="418"/>
      <c r="G181" s="418"/>
      <c r="H181" s="418"/>
    </row>
    <row r="182" spans="1:8" hidden="1" x14ac:dyDescent="0.2">
      <c r="A182" s="418" t="s">
        <v>478</v>
      </c>
      <c r="B182" s="418" t="s">
        <v>193</v>
      </c>
      <c r="C182" s="418" t="s">
        <v>507</v>
      </c>
      <c r="D182" s="418" t="s">
        <v>446</v>
      </c>
      <c r="E182" s="418"/>
      <c r="F182" s="418"/>
      <c r="G182" s="418"/>
      <c r="H182" s="418"/>
    </row>
    <row r="183" spans="1:8" hidden="1" x14ac:dyDescent="0.2">
      <c r="A183" s="418" t="s">
        <v>479</v>
      </c>
      <c r="B183" s="418" t="s">
        <v>193</v>
      </c>
      <c r="C183" s="418" t="s">
        <v>508</v>
      </c>
      <c r="D183" s="418" t="s">
        <v>446</v>
      </c>
      <c r="E183" s="418"/>
      <c r="F183" s="418"/>
      <c r="G183" s="418"/>
      <c r="H183" s="418"/>
    </row>
    <row r="184" spans="1:8" hidden="1" x14ac:dyDescent="0.2">
      <c r="A184" s="418" t="s">
        <v>480</v>
      </c>
      <c r="B184" s="418" t="s">
        <v>193</v>
      </c>
      <c r="C184" s="418" t="s">
        <v>465</v>
      </c>
      <c r="D184" s="418" t="s">
        <v>446</v>
      </c>
      <c r="E184" s="418"/>
      <c r="F184" s="418"/>
      <c r="G184" s="418"/>
      <c r="H184" s="418"/>
    </row>
    <row r="185" spans="1:8" hidden="1" x14ac:dyDescent="0.2">
      <c r="A185" s="418" t="s">
        <v>481</v>
      </c>
      <c r="B185" s="418" t="s">
        <v>193</v>
      </c>
      <c r="C185" s="418" t="s">
        <v>466</v>
      </c>
      <c r="D185" s="418" t="s">
        <v>192</v>
      </c>
      <c r="E185" s="418"/>
      <c r="F185" s="418"/>
      <c r="G185" s="418"/>
      <c r="H185" s="418"/>
    </row>
    <row r="186" spans="1:8" hidden="1" x14ac:dyDescent="0.2">
      <c r="A186" s="418" t="s">
        <v>482</v>
      </c>
      <c r="B186" s="418" t="s">
        <v>193</v>
      </c>
      <c r="C186" s="418" t="s">
        <v>509</v>
      </c>
      <c r="D186" s="418" t="s">
        <v>446</v>
      </c>
      <c r="E186" s="418"/>
      <c r="F186" s="418"/>
      <c r="G186" s="418"/>
      <c r="H186" s="418"/>
    </row>
    <row r="187" spans="1:8" hidden="1" x14ac:dyDescent="0.2">
      <c r="A187" s="418" t="s">
        <v>483</v>
      </c>
      <c r="B187" s="418" t="s">
        <v>193</v>
      </c>
      <c r="C187" s="418" t="s">
        <v>510</v>
      </c>
      <c r="D187" s="418" t="s">
        <v>192</v>
      </c>
      <c r="E187" s="418"/>
      <c r="F187" s="418"/>
      <c r="G187" s="418"/>
      <c r="H187" s="418"/>
    </row>
    <row r="188" spans="1:8" hidden="1" x14ac:dyDescent="0.2">
      <c r="A188" s="418" t="s">
        <v>484</v>
      </c>
      <c r="B188" s="418" t="s">
        <v>193</v>
      </c>
      <c r="C188" s="418" t="s">
        <v>511</v>
      </c>
      <c r="D188" s="418" t="s">
        <v>192</v>
      </c>
      <c r="E188" s="418"/>
      <c r="F188" s="418"/>
      <c r="G188" s="418"/>
      <c r="H188" s="418"/>
    </row>
    <row r="189" spans="1:8" hidden="1" x14ac:dyDescent="0.2">
      <c r="A189" s="418" t="s">
        <v>485</v>
      </c>
      <c r="B189" s="418"/>
      <c r="C189" s="418"/>
      <c r="D189" s="418"/>
      <c r="E189" s="418"/>
      <c r="F189" s="418"/>
      <c r="G189" s="418"/>
      <c r="H189" s="418"/>
    </row>
    <row r="190" spans="1:8" hidden="1" x14ac:dyDescent="0.2">
      <c r="A190" s="418" t="s">
        <v>486</v>
      </c>
      <c r="B190" s="418"/>
      <c r="C190" s="418"/>
      <c r="D190" s="418"/>
      <c r="E190" s="418"/>
      <c r="F190" s="418"/>
      <c r="G190" s="418"/>
      <c r="H190" s="418"/>
    </row>
    <row r="191" spans="1:8" ht="13.5" hidden="1" thickBot="1" x14ac:dyDescent="0.25"/>
    <row r="192" spans="1:8" ht="13.5" hidden="1" thickBot="1" x14ac:dyDescent="0.25">
      <c r="A192" s="418" t="s">
        <v>414</v>
      </c>
      <c r="B192" s="418" t="s">
        <v>58</v>
      </c>
      <c r="C192" s="409" t="s">
        <v>512</v>
      </c>
      <c r="D192" s="183"/>
      <c r="E192" s="183"/>
      <c r="F192" s="183"/>
      <c r="G192" s="183"/>
      <c r="H192" s="183"/>
    </row>
    <row r="193" spans="1:8" ht="25.5" hidden="1" x14ac:dyDescent="0.2">
      <c r="A193" s="428" t="s">
        <v>487</v>
      </c>
      <c r="B193" s="428" t="s">
        <v>190</v>
      </c>
      <c r="C193" s="429" t="s">
        <v>513</v>
      </c>
      <c r="D193" s="430" t="s">
        <v>192</v>
      </c>
      <c r="E193" s="431"/>
      <c r="F193" s="431"/>
      <c r="G193" s="432"/>
      <c r="H193" s="433"/>
    </row>
    <row r="194" spans="1:8" ht="25.5" hidden="1" x14ac:dyDescent="0.2">
      <c r="A194" s="428" t="s">
        <v>488</v>
      </c>
      <c r="B194" s="428" t="s">
        <v>193</v>
      </c>
      <c r="C194" s="429" t="s">
        <v>514</v>
      </c>
      <c r="D194" s="430" t="s">
        <v>192</v>
      </c>
      <c r="E194" s="431"/>
      <c r="F194" s="431"/>
      <c r="G194" s="432"/>
      <c r="H194" s="433"/>
    </row>
    <row r="195" spans="1:8" ht="25.5" hidden="1" x14ac:dyDescent="0.2">
      <c r="A195" s="428" t="s">
        <v>489</v>
      </c>
      <c r="B195" s="428" t="s">
        <v>193</v>
      </c>
      <c r="C195" s="429" t="s">
        <v>515</v>
      </c>
      <c r="D195" s="430" t="s">
        <v>192</v>
      </c>
      <c r="E195" s="431"/>
      <c r="F195" s="431"/>
      <c r="G195" s="432"/>
      <c r="H195" s="433"/>
    </row>
    <row r="196" spans="1:8" hidden="1" x14ac:dyDescent="0.2">
      <c r="A196" s="428" t="s">
        <v>490</v>
      </c>
      <c r="B196" s="428" t="s">
        <v>193</v>
      </c>
      <c r="C196" s="429" t="s">
        <v>516</v>
      </c>
      <c r="D196" s="430" t="s">
        <v>196</v>
      </c>
      <c r="E196" s="431"/>
      <c r="F196" s="431"/>
      <c r="G196" s="432"/>
      <c r="H196" s="433"/>
    </row>
    <row r="197" spans="1:8" hidden="1" x14ac:dyDescent="0.2">
      <c r="A197" s="428" t="s">
        <v>491</v>
      </c>
      <c r="B197" s="428"/>
      <c r="C197" s="429"/>
      <c r="D197" s="430"/>
      <c r="E197" s="431"/>
      <c r="F197" s="431"/>
      <c r="G197" s="432"/>
      <c r="H197" s="433"/>
    </row>
    <row r="198" spans="1:8" hidden="1" x14ac:dyDescent="0.2">
      <c r="A198" s="428" t="s">
        <v>531</v>
      </c>
      <c r="B198" s="428"/>
      <c r="C198" s="436"/>
      <c r="D198" s="437"/>
      <c r="E198" s="431"/>
      <c r="F198" s="431"/>
      <c r="G198" s="432"/>
      <c r="H198" s="433"/>
    </row>
    <row r="199" spans="1:8" hidden="1" x14ac:dyDescent="0.2">
      <c r="A199" s="428" t="s">
        <v>469</v>
      </c>
      <c r="B199" s="428" t="s">
        <v>193</v>
      </c>
      <c r="C199" s="434" t="s">
        <v>518</v>
      </c>
      <c r="D199" s="434" t="s">
        <v>192</v>
      </c>
      <c r="E199" s="431"/>
      <c r="F199" s="431"/>
      <c r="G199" s="432"/>
      <c r="H199" s="433"/>
    </row>
    <row r="200" spans="1:8" hidden="1" x14ac:dyDescent="0.2">
      <c r="A200" s="428" t="s">
        <v>470</v>
      </c>
      <c r="B200" s="428" t="s">
        <v>190</v>
      </c>
      <c r="C200" s="434" t="s">
        <v>519</v>
      </c>
      <c r="D200" s="434" t="s">
        <v>192</v>
      </c>
      <c r="E200" s="431"/>
      <c r="F200" s="431"/>
      <c r="G200" s="432"/>
      <c r="H200" s="433"/>
    </row>
    <row r="201" spans="1:8" hidden="1" x14ac:dyDescent="0.2">
      <c r="A201" s="428" t="s">
        <v>471</v>
      </c>
      <c r="B201" s="428" t="s">
        <v>193</v>
      </c>
      <c r="C201" s="434" t="s">
        <v>520</v>
      </c>
      <c r="D201" s="434" t="s">
        <v>192</v>
      </c>
      <c r="E201" s="431"/>
      <c r="F201" s="431"/>
      <c r="G201" s="432"/>
      <c r="H201" s="433"/>
    </row>
    <row r="202" spans="1:8" hidden="1" x14ac:dyDescent="0.2">
      <c r="A202" s="428" t="s">
        <v>472</v>
      </c>
      <c r="B202" s="430" t="s">
        <v>193</v>
      </c>
      <c r="C202" s="434" t="s">
        <v>521</v>
      </c>
      <c r="D202" s="434" t="s">
        <v>192</v>
      </c>
      <c r="E202" s="431"/>
      <c r="F202" s="431"/>
      <c r="G202" s="432"/>
      <c r="H202" s="433"/>
    </row>
    <row r="203" spans="1:8" hidden="1" x14ac:dyDescent="0.2">
      <c r="A203" s="428" t="s">
        <v>473</v>
      </c>
      <c r="B203" s="430" t="s">
        <v>193</v>
      </c>
      <c r="C203" s="434" t="s">
        <v>522</v>
      </c>
      <c r="D203" s="434" t="s">
        <v>192</v>
      </c>
      <c r="E203" s="431"/>
      <c r="F203" s="431"/>
      <c r="G203" s="432"/>
      <c r="H203" s="433"/>
    </row>
    <row r="204" spans="1:8" hidden="1" x14ac:dyDescent="0.2">
      <c r="A204" s="428" t="s">
        <v>474</v>
      </c>
      <c r="B204" s="430" t="s">
        <v>193</v>
      </c>
      <c r="C204" s="434" t="s">
        <v>523</v>
      </c>
      <c r="D204" s="434" t="s">
        <v>192</v>
      </c>
      <c r="E204" s="431"/>
      <c r="F204" s="431"/>
      <c r="G204" s="432"/>
      <c r="H204" s="433"/>
    </row>
    <row r="205" spans="1:8" hidden="1" x14ac:dyDescent="0.2">
      <c r="A205" s="430" t="s">
        <v>475</v>
      </c>
      <c r="B205" s="430" t="s">
        <v>193</v>
      </c>
      <c r="C205" s="434" t="s">
        <v>524</v>
      </c>
      <c r="D205" s="434" t="s">
        <v>192</v>
      </c>
      <c r="E205" s="431"/>
      <c r="F205" s="431"/>
      <c r="G205" s="432"/>
      <c r="H205" s="433"/>
    </row>
    <row r="206" spans="1:8" hidden="1" x14ac:dyDescent="0.2">
      <c r="A206" s="428" t="s">
        <v>476</v>
      </c>
      <c r="B206" s="430"/>
      <c r="C206" s="429"/>
      <c r="D206" s="430"/>
      <c r="E206" s="431"/>
      <c r="F206" s="431"/>
      <c r="G206" s="432"/>
      <c r="H206" s="433"/>
    </row>
    <row r="207" spans="1:8" hidden="1" x14ac:dyDescent="0.2">
      <c r="A207" s="428" t="s">
        <v>477</v>
      </c>
      <c r="B207" s="430"/>
      <c r="C207" s="429"/>
      <c r="D207" s="430"/>
      <c r="E207" s="431"/>
      <c r="F207" s="431"/>
      <c r="G207" s="432"/>
      <c r="H207" s="433"/>
    </row>
    <row r="208" spans="1:8" hidden="1" x14ac:dyDescent="0.2">
      <c r="A208" s="428" t="s">
        <v>478</v>
      </c>
      <c r="B208" s="430"/>
      <c r="C208" s="429"/>
      <c r="D208" s="430"/>
      <c r="E208" s="431"/>
      <c r="F208" s="431"/>
      <c r="G208" s="432"/>
      <c r="H208" s="433"/>
    </row>
    <row r="209" spans="1:8" hidden="1" x14ac:dyDescent="0.2">
      <c r="A209" s="428" t="s">
        <v>479</v>
      </c>
      <c r="B209" s="430"/>
      <c r="C209" s="429"/>
      <c r="D209" s="430"/>
      <c r="E209" s="431"/>
      <c r="F209" s="431"/>
      <c r="G209" s="432"/>
      <c r="H209" s="433"/>
    </row>
    <row r="210" spans="1:8" hidden="1" x14ac:dyDescent="0.2">
      <c r="A210" s="428" t="s">
        <v>480</v>
      </c>
      <c r="B210" s="430"/>
      <c r="C210" s="429"/>
      <c r="D210" s="430"/>
      <c r="E210" s="431"/>
      <c r="F210" s="431"/>
      <c r="G210" s="432"/>
      <c r="H210" s="433"/>
    </row>
    <row r="211" spans="1:8" hidden="1" x14ac:dyDescent="0.2">
      <c r="A211" s="428" t="s">
        <v>481</v>
      </c>
      <c r="B211" s="430"/>
      <c r="C211" s="429"/>
      <c r="D211" s="430"/>
      <c r="E211" s="431"/>
      <c r="F211" s="431"/>
      <c r="G211" s="432"/>
      <c r="H211" s="433"/>
    </row>
    <row r="212" spans="1:8" hidden="1" x14ac:dyDescent="0.2">
      <c r="A212" s="428" t="s">
        <v>482</v>
      </c>
      <c r="B212" s="430"/>
      <c r="C212" s="429"/>
      <c r="D212" s="430"/>
      <c r="E212" s="431"/>
      <c r="F212" s="431"/>
      <c r="G212" s="432"/>
      <c r="H212" s="433"/>
    </row>
    <row r="213" spans="1:8" hidden="1" x14ac:dyDescent="0.2">
      <c r="A213" s="428" t="s">
        <v>483</v>
      </c>
      <c r="B213" s="430"/>
      <c r="C213" s="429"/>
      <c r="D213" s="430"/>
      <c r="E213" s="431"/>
      <c r="F213" s="431"/>
      <c r="G213" s="432"/>
      <c r="H213" s="433"/>
    </row>
    <row r="214" spans="1:8" hidden="1" x14ac:dyDescent="0.2">
      <c r="A214" s="428" t="s">
        <v>484</v>
      </c>
      <c r="B214" s="430"/>
      <c r="C214" s="429"/>
      <c r="D214" s="430"/>
      <c r="E214" s="431"/>
      <c r="F214" s="431"/>
      <c r="G214" s="432"/>
      <c r="H214" s="433"/>
    </row>
    <row r="215" spans="1:8" hidden="1" x14ac:dyDescent="0.2">
      <c r="A215" s="428" t="s">
        <v>485</v>
      </c>
      <c r="B215" s="430"/>
      <c r="C215" s="429"/>
      <c r="D215" s="430"/>
      <c r="E215" s="431"/>
      <c r="F215" s="431"/>
      <c r="G215" s="432"/>
      <c r="H215" s="433"/>
    </row>
    <row r="216" spans="1:8" hidden="1" x14ac:dyDescent="0.2">
      <c r="A216" s="428" t="s">
        <v>486</v>
      </c>
      <c r="B216" s="430"/>
      <c r="C216" s="429"/>
      <c r="D216" s="430"/>
      <c r="E216" s="431"/>
      <c r="F216" s="431"/>
      <c r="G216" s="432"/>
      <c r="H216" s="433"/>
    </row>
    <row r="217" spans="1:8" ht="13.5" hidden="1" thickBot="1" x14ac:dyDescent="0.25"/>
    <row r="218" spans="1:8" ht="13.5" hidden="1" thickBot="1" x14ac:dyDescent="0.25">
      <c r="A218" s="418" t="s">
        <v>414</v>
      </c>
      <c r="B218" s="418" t="s">
        <v>58</v>
      </c>
      <c r="C218" s="409" t="s">
        <v>517</v>
      </c>
      <c r="D218" s="183"/>
      <c r="E218" s="183"/>
      <c r="F218" s="183"/>
      <c r="G218" s="183"/>
      <c r="H218" s="183"/>
    </row>
    <row r="219" spans="1:8" hidden="1" x14ac:dyDescent="0.2">
      <c r="A219" s="430" t="s">
        <v>487</v>
      </c>
      <c r="B219" s="428" t="s">
        <v>190</v>
      </c>
      <c r="C219" s="434" t="s">
        <v>525</v>
      </c>
      <c r="D219" s="434" t="s">
        <v>192</v>
      </c>
      <c r="E219" s="431"/>
      <c r="F219" s="431"/>
      <c r="G219" s="432"/>
      <c r="H219" s="435"/>
    </row>
    <row r="220" spans="1:8" hidden="1" x14ac:dyDescent="0.2">
      <c r="A220" s="430" t="s">
        <v>488</v>
      </c>
      <c r="B220" s="428" t="s">
        <v>193</v>
      </c>
      <c r="C220" s="434" t="s">
        <v>526</v>
      </c>
      <c r="D220" s="434" t="s">
        <v>192</v>
      </c>
      <c r="E220" s="431"/>
      <c r="F220" s="431"/>
      <c r="G220" s="432"/>
      <c r="H220" s="435"/>
    </row>
    <row r="221" spans="1:8" hidden="1" x14ac:dyDescent="0.2">
      <c r="A221" s="430" t="s">
        <v>489</v>
      </c>
      <c r="B221" s="430" t="s">
        <v>193</v>
      </c>
      <c r="C221" s="434" t="s">
        <v>527</v>
      </c>
      <c r="D221" s="434" t="s">
        <v>192</v>
      </c>
      <c r="E221" s="431"/>
      <c r="F221" s="431"/>
      <c r="G221" s="432"/>
      <c r="H221" s="435"/>
    </row>
    <row r="222" spans="1:8" hidden="1" x14ac:dyDescent="0.2">
      <c r="A222" s="430" t="s">
        <v>490</v>
      </c>
      <c r="B222" s="430" t="s">
        <v>193</v>
      </c>
      <c r="C222" s="434" t="s">
        <v>528</v>
      </c>
      <c r="D222" s="434" t="s">
        <v>192</v>
      </c>
      <c r="E222" s="431"/>
      <c r="F222" s="431"/>
      <c r="G222" s="432"/>
      <c r="H222" s="435"/>
    </row>
    <row r="223" spans="1:8" hidden="1" x14ac:dyDescent="0.2">
      <c r="A223" s="430" t="s">
        <v>491</v>
      </c>
      <c r="B223" s="430" t="s">
        <v>193</v>
      </c>
      <c r="C223" s="434" t="s">
        <v>529</v>
      </c>
      <c r="D223" s="434" t="s">
        <v>196</v>
      </c>
      <c r="E223" s="431"/>
      <c r="F223" s="431"/>
      <c r="G223" s="432"/>
      <c r="H223" s="435"/>
    </row>
    <row r="224" spans="1:8" hidden="1" x14ac:dyDescent="0.2">
      <c r="A224" s="430" t="s">
        <v>531</v>
      </c>
      <c r="B224" s="430" t="s">
        <v>193</v>
      </c>
      <c r="C224" s="434" t="s">
        <v>530</v>
      </c>
      <c r="D224" s="434" t="s">
        <v>196</v>
      </c>
      <c r="E224" s="431"/>
      <c r="F224" s="431"/>
      <c r="G224" s="432"/>
      <c r="H224" s="435"/>
    </row>
    <row r="225" spans="1:8" hidden="1" x14ac:dyDescent="0.2">
      <c r="A225" s="428" t="s">
        <v>469</v>
      </c>
      <c r="B225" s="428" t="s">
        <v>190</v>
      </c>
      <c r="C225" s="434" t="s">
        <v>532</v>
      </c>
      <c r="D225" s="434" t="s">
        <v>196</v>
      </c>
      <c r="E225" s="431"/>
      <c r="F225" s="431"/>
      <c r="G225" s="432"/>
      <c r="H225" s="435"/>
    </row>
    <row r="226" spans="1:8" hidden="1" x14ac:dyDescent="0.2">
      <c r="A226" s="428" t="s">
        <v>470</v>
      </c>
      <c r="B226" s="428" t="s">
        <v>193</v>
      </c>
      <c r="C226" s="434" t="s">
        <v>518</v>
      </c>
      <c r="D226" s="434" t="s">
        <v>192</v>
      </c>
      <c r="E226" s="431"/>
      <c r="F226" s="431"/>
      <c r="G226" s="432"/>
      <c r="H226" s="435"/>
    </row>
    <row r="227" spans="1:8" hidden="1" x14ac:dyDescent="0.2">
      <c r="A227" s="428" t="s">
        <v>471</v>
      </c>
      <c r="B227" s="428" t="s">
        <v>193</v>
      </c>
      <c r="C227" s="434" t="s">
        <v>533</v>
      </c>
      <c r="D227" s="434" t="s">
        <v>192</v>
      </c>
      <c r="E227" s="431"/>
      <c r="F227" s="431"/>
      <c r="G227" s="432"/>
      <c r="H227" s="435"/>
    </row>
    <row r="228" spans="1:8" hidden="1" x14ac:dyDescent="0.2">
      <c r="A228" s="428" t="s">
        <v>472</v>
      </c>
      <c r="B228" s="430" t="s">
        <v>193</v>
      </c>
      <c r="C228" s="434" t="s">
        <v>534</v>
      </c>
      <c r="D228" s="434" t="s">
        <v>192</v>
      </c>
      <c r="E228" s="431"/>
      <c r="F228" s="431"/>
      <c r="G228" s="432"/>
      <c r="H228" s="435"/>
    </row>
    <row r="229" spans="1:8" hidden="1" x14ac:dyDescent="0.2">
      <c r="A229" s="428" t="s">
        <v>473</v>
      </c>
      <c r="B229" s="430" t="s">
        <v>193</v>
      </c>
      <c r="C229" s="434" t="s">
        <v>521</v>
      </c>
      <c r="D229" s="434" t="s">
        <v>192</v>
      </c>
      <c r="E229" s="431"/>
      <c r="F229" s="431"/>
      <c r="G229" s="432"/>
      <c r="H229" s="435"/>
    </row>
    <row r="230" spans="1:8" hidden="1" x14ac:dyDescent="0.2">
      <c r="A230" s="428" t="s">
        <v>474</v>
      </c>
      <c r="B230" s="430" t="s">
        <v>193</v>
      </c>
      <c r="C230" s="434" t="s">
        <v>535</v>
      </c>
      <c r="D230" s="434" t="s">
        <v>192</v>
      </c>
      <c r="E230" s="431"/>
      <c r="F230" s="431"/>
      <c r="G230" s="432"/>
      <c r="H230" s="435"/>
    </row>
    <row r="231" spans="1:8" hidden="1" x14ac:dyDescent="0.2">
      <c r="A231" s="430" t="s">
        <v>475</v>
      </c>
      <c r="B231" s="430" t="s">
        <v>193</v>
      </c>
      <c r="C231" s="434" t="s">
        <v>536</v>
      </c>
      <c r="D231" s="434" t="s">
        <v>192</v>
      </c>
      <c r="E231" s="431"/>
      <c r="F231" s="431"/>
      <c r="G231" s="432"/>
      <c r="H231" s="435"/>
    </row>
    <row r="232" spans="1:8" hidden="1" x14ac:dyDescent="0.2">
      <c r="A232" s="428" t="s">
        <v>476</v>
      </c>
      <c r="B232" s="430" t="s">
        <v>193</v>
      </c>
      <c r="C232" s="434" t="s">
        <v>537</v>
      </c>
      <c r="D232" s="434" t="s">
        <v>192</v>
      </c>
      <c r="E232" s="431"/>
      <c r="F232" s="431"/>
      <c r="G232" s="432"/>
      <c r="H232" s="435"/>
    </row>
    <row r="233" spans="1:8" hidden="1" x14ac:dyDescent="0.2">
      <c r="A233" s="428" t="s">
        <v>477</v>
      </c>
      <c r="B233" s="430" t="s">
        <v>193</v>
      </c>
      <c r="C233" s="434" t="s">
        <v>538</v>
      </c>
      <c r="D233" s="434" t="s">
        <v>192</v>
      </c>
      <c r="E233" s="431"/>
      <c r="F233" s="431"/>
      <c r="G233" s="432"/>
      <c r="H233" s="435"/>
    </row>
    <row r="234" spans="1:8" hidden="1" x14ac:dyDescent="0.2">
      <c r="A234" s="428" t="s">
        <v>478</v>
      </c>
      <c r="B234" s="430" t="s">
        <v>193</v>
      </c>
      <c r="C234" s="434" t="s">
        <v>539</v>
      </c>
      <c r="D234" s="434" t="s">
        <v>192</v>
      </c>
      <c r="E234" s="431"/>
      <c r="F234" s="431"/>
      <c r="G234" s="432"/>
      <c r="H234" s="435"/>
    </row>
    <row r="235" spans="1:8" hidden="1" x14ac:dyDescent="0.2">
      <c r="A235" s="428" t="s">
        <v>479</v>
      </c>
      <c r="B235" s="430" t="s">
        <v>193</v>
      </c>
      <c r="C235" s="434" t="s">
        <v>540</v>
      </c>
      <c r="D235" s="434" t="s">
        <v>192</v>
      </c>
      <c r="E235" s="431"/>
      <c r="F235" s="431"/>
      <c r="G235" s="432"/>
      <c r="H235" s="435"/>
    </row>
    <row r="236" spans="1:8" hidden="1" x14ac:dyDescent="0.2">
      <c r="A236" s="428" t="s">
        <v>480</v>
      </c>
      <c r="B236" s="430" t="s">
        <v>193</v>
      </c>
      <c r="C236" s="434" t="s">
        <v>541</v>
      </c>
      <c r="D236" s="434" t="s">
        <v>192</v>
      </c>
      <c r="E236" s="431"/>
      <c r="F236" s="431"/>
      <c r="G236" s="432"/>
      <c r="H236" s="435"/>
    </row>
    <row r="237" spans="1:8" hidden="1" x14ac:dyDescent="0.2">
      <c r="A237" s="428" t="s">
        <v>481</v>
      </c>
      <c r="B237" s="430" t="s">
        <v>193</v>
      </c>
      <c r="C237" s="434" t="s">
        <v>542</v>
      </c>
      <c r="D237" s="434" t="s">
        <v>192</v>
      </c>
      <c r="E237" s="431"/>
      <c r="F237" s="431"/>
      <c r="G237" s="432"/>
      <c r="H237" s="435"/>
    </row>
    <row r="238" spans="1:8" hidden="1" x14ac:dyDescent="0.2">
      <c r="A238" s="428" t="s">
        <v>482</v>
      </c>
      <c r="B238" s="430" t="s">
        <v>193</v>
      </c>
      <c r="C238" s="434" t="s">
        <v>543</v>
      </c>
      <c r="D238" s="434" t="s">
        <v>192</v>
      </c>
      <c r="E238" s="438"/>
      <c r="F238" s="438"/>
      <c r="G238" s="438"/>
      <c r="H238" s="438"/>
    </row>
    <row r="239" spans="1:8" hidden="1" x14ac:dyDescent="0.2">
      <c r="A239" s="428" t="s">
        <v>483</v>
      </c>
      <c r="B239" s="430" t="s">
        <v>193</v>
      </c>
      <c r="C239" s="434" t="s">
        <v>544</v>
      </c>
      <c r="D239" s="434" t="s">
        <v>192</v>
      </c>
      <c r="E239" s="438"/>
      <c r="F239" s="438"/>
      <c r="G239" s="438"/>
      <c r="H239" s="438"/>
    </row>
    <row r="240" spans="1:8" hidden="1" x14ac:dyDescent="0.2">
      <c r="A240" s="428" t="s">
        <v>484</v>
      </c>
      <c r="B240" s="430" t="s">
        <v>193</v>
      </c>
      <c r="C240" s="434" t="s">
        <v>545</v>
      </c>
      <c r="D240" s="434" t="s">
        <v>192</v>
      </c>
      <c r="E240" s="438"/>
      <c r="F240" s="438"/>
      <c r="G240" s="438"/>
      <c r="H240" s="438"/>
    </row>
    <row r="241" spans="1:8" hidden="1" x14ac:dyDescent="0.2">
      <c r="A241" s="428" t="s">
        <v>485</v>
      </c>
      <c r="B241" s="430" t="s">
        <v>193</v>
      </c>
      <c r="C241" s="434" t="s">
        <v>546</v>
      </c>
      <c r="D241" s="434" t="s">
        <v>192</v>
      </c>
      <c r="E241" s="438"/>
      <c r="F241" s="438"/>
      <c r="G241" s="438"/>
      <c r="H241" s="438"/>
    </row>
    <row r="242" spans="1:8" hidden="1" x14ac:dyDescent="0.2">
      <c r="A242" s="428" t="s">
        <v>486</v>
      </c>
      <c r="B242" s="430"/>
      <c r="C242" s="438"/>
      <c r="D242" s="438"/>
      <c r="E242" s="438"/>
      <c r="F242" s="438"/>
      <c r="G242" s="438"/>
      <c r="H242" s="438"/>
    </row>
  </sheetData>
  <sheetProtection password="F58B" sheet="1" objects="1" scenarios="1" formatCells="0" selectLockedCells="1"/>
  <mergeCells count="19">
    <mergeCell ref="A1:G1"/>
    <mergeCell ref="A11:G11"/>
    <mergeCell ref="A13:G13"/>
    <mergeCell ref="A15:G15"/>
    <mergeCell ref="A8:G8"/>
    <mergeCell ref="A3:B3"/>
    <mergeCell ref="C3:G3"/>
    <mergeCell ref="D5:E5"/>
    <mergeCell ref="A131:H131"/>
    <mergeCell ref="F5:G5"/>
    <mergeCell ref="A112:H112"/>
    <mergeCell ref="A52:G52"/>
    <mergeCell ref="A64:G64"/>
    <mergeCell ref="A32:G32"/>
    <mergeCell ref="A5:B5"/>
    <mergeCell ref="A100:G100"/>
    <mergeCell ref="A30:G30"/>
    <mergeCell ref="A28:G28"/>
    <mergeCell ref="A26:G26"/>
  </mergeCells>
  <phoneticPr fontId="3" type="noConversion"/>
  <conditionalFormatting sqref="C99 C97 C95 C65 C67 C69 C71 C73 C93 C91 C89 C87 C85 C83 C81 C79 C75 C77">
    <cfRule type="expression" dxfId="250" priority="13" stopIfTrue="1">
      <formula>IF($C65=$J65,TRUE,FALSE)</formula>
    </cfRule>
  </conditionalFormatting>
  <conditionalFormatting sqref="A64:H64">
    <cfRule type="cellIs" dxfId="249" priority="17" stopIfTrue="1" operator="notEqual">
      <formula>$K$64</formula>
    </cfRule>
  </conditionalFormatting>
  <conditionalFormatting sqref="A32:G32">
    <cfRule type="cellIs" dxfId="248" priority="142" stopIfTrue="1" operator="notEqual">
      <formula>$H$32</formula>
    </cfRule>
  </conditionalFormatting>
  <conditionalFormatting sqref="A52:G52">
    <cfRule type="cellIs" dxfId="247" priority="143" stopIfTrue="1" operator="notEqual">
      <formula>$H$52</formula>
    </cfRule>
  </conditionalFormatting>
  <conditionalFormatting sqref="C17 C19 C21 C23 C25">
    <cfRule type="expression" dxfId="246" priority="10" stopIfTrue="1">
      <formula>IF($C17=$J17,TRUE,FALSE)</formula>
    </cfRule>
  </conditionalFormatting>
  <conditionalFormatting sqref="C10">
    <cfRule type="expression" dxfId="245" priority="11" stopIfTrue="1">
      <formula>IF($C10=$J10,TRUE,FALSE)</formula>
    </cfRule>
  </conditionalFormatting>
  <conditionalFormatting sqref="A65">
    <cfRule type="expression" dxfId="244" priority="9" stopIfTrue="1">
      <formula>"$I61&gt;0"</formula>
    </cfRule>
  </conditionalFormatting>
  <conditionalFormatting sqref="A67">
    <cfRule type="expression" dxfId="243" priority="8" stopIfTrue="1">
      <formula>$I67&gt;0</formula>
    </cfRule>
  </conditionalFormatting>
  <conditionalFormatting sqref="A69">
    <cfRule type="expression" dxfId="242" priority="7" stopIfTrue="1">
      <formula>$I69&gt;0</formula>
    </cfRule>
  </conditionalFormatting>
  <conditionalFormatting sqref="A71">
    <cfRule type="expression" dxfId="241" priority="6" stopIfTrue="1">
      <formula>$I71&gt;0</formula>
    </cfRule>
  </conditionalFormatting>
  <conditionalFormatting sqref="A73">
    <cfRule type="expression" dxfId="240" priority="5" stopIfTrue="1">
      <formula>$I73&gt;0</formula>
    </cfRule>
  </conditionalFormatting>
  <conditionalFormatting sqref="A75">
    <cfRule type="expression" dxfId="239" priority="4" stopIfTrue="1">
      <formula>$I75&gt;0</formula>
    </cfRule>
  </conditionalFormatting>
  <conditionalFormatting sqref="A77">
    <cfRule type="expression" dxfId="238" priority="3" stopIfTrue="1">
      <formula>$I77&gt;0</formula>
    </cfRule>
  </conditionalFormatting>
  <conditionalFormatting sqref="A99">
    <cfRule type="expression" dxfId="237" priority="2" stopIfTrue="1">
      <formula>$I99&gt;1</formula>
    </cfRule>
  </conditionalFormatting>
  <conditionalFormatting sqref="A100:G100">
    <cfRule type="cellIs" dxfId="236" priority="1" stopIfTrue="1" operator="notEqual">
      <formula>K$100</formula>
    </cfRule>
  </conditionalFormatting>
  <dataValidations count="9">
    <dataValidation type="list" allowBlank="1" showInputMessage="1" showErrorMessage="1" sqref="C53 C63 C57 C59 C61 C55">
      <formula1>$C$132:$C$137</formula1>
    </dataValidation>
    <dataValidation type="decimal" operator="lessThan" allowBlank="1" showInputMessage="1" showErrorMessage="1" sqref="E107:F107 E105:F105 E103:F103 E63:F63 E33:F33 E35:F35 E37:F37 E39:F39 E41:F41 E43:F43 E45:F45 E47:F47 E49:F49 E51:F51 E109:F109 E61:F61 E65:F65 E67:F67 E69:F69 E71:F71 E73:F73 E75:F75 E77:F77 E79:F79 E81:F81 E83:F83 E53:F53 E101:F101 E85:F85 E99:F99 E97:F97 E95:F95 E93:F93 E91:F91 E87:F87 E89:F89 E55:F55 E10:F10 E59:F59 E57:F57 E17:F17 E19:F19 E21:F21 E23:F23 E25:F25">
      <formula1>99999999</formula1>
    </dataValidation>
    <dataValidation type="textLength" operator="lessThanOrEqual" allowBlank="1" showInputMessage="1" showErrorMessage="1" sqref="H89 H109 H107 H105 H101 H103 H87 H85 H97 H95 H93 H91 H25:H26 H65 H67 H69 H71 H73 H75 H77 H79 H81 H83 H10 H17 H19 H21 H23 H99">
      <formula1>80</formula1>
    </dataValidation>
    <dataValidation type="textLength" operator="lessThanOrEqual" allowBlank="1" showInputMessage="1" showErrorMessage="1" sqref="G33 G35 G37 G39 G41 G43 G45 G47 G49 G51 G53 G61 G63 G65 G67 G69 G71 G73 G75 G77 G79 G81 G83 G85 G87 G89 G91 G93 G95 G97 G99 G101 G103 G105 G107 G109 G55 G23 G59 G57 G17 G19 G21 G25 AG67 AG69 AG71 AG73 AG75 AG79 AG81 AG83 AG85 AG87 AG89 AG91 AG93 AG95 AG97 AG99">
      <formula1>250</formula1>
    </dataValidation>
    <dataValidation type="list" allowBlank="1" showInputMessage="1" showErrorMessage="1" sqref="C33 C45 C41 C37 C39 C43 C47 C51 C35 C49">
      <formula1>$C$113:$C$129</formula1>
    </dataValidation>
    <dataValidation type="textLength" operator="lessThanOrEqual" allowBlank="1" showInputMessage="1" showErrorMessage="1" sqref="G10">
      <formula1>250</formula1>
    </dataValidation>
    <dataValidation type="textLength" allowBlank="1" showInputMessage="1" showErrorMessage="1" sqref="C101 C103 C105 C107 C109">
      <formula1>0</formula1>
      <formula2>120</formula2>
    </dataValidation>
    <dataValidation type="textLength" operator="lessThanOrEqual" allowBlank="1" showInputMessage="1" showErrorMessage="1" sqref="B101 B103 B105 B107 B109">
      <formula1>30</formula1>
    </dataValidation>
    <dataValidation type="textLength" operator="lessThanOrEqual" allowBlank="1" showInputMessage="1" showErrorMessage="1" sqref="D101 D103 D105 D107 D109">
      <formula1>20</formula1>
    </dataValidation>
  </dataValidations>
  <pageMargins left="0.27559055118110237" right="0.23622047244094491" top="0.78740157480314965" bottom="0.31496062992125984" header="0.31496062992125984" footer="0.11811023622047245"/>
  <pageSetup scale="90" fitToHeight="7" orientation="landscape" horizontalDpi="300" verticalDpi="300"/>
  <headerFooter>
    <oddFooter xml:space="preserve">&amp;C&amp;"Arial,Italic"&amp;8&amp;A&amp;R&amp;"Arial,Italic"&amp;8Page &amp;P of &amp;N </oddFooter>
  </headerFooter>
  <ignoredErrors>
    <ignoredError sqref="C3" formulaRange="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1"/>
  <sheetViews>
    <sheetView tabSelected="1" zoomScale="111" zoomScaleNormal="70" zoomScalePageLayoutView="70" workbookViewId="0">
      <selection activeCell="H238" sqref="H238"/>
    </sheetView>
  </sheetViews>
  <sheetFormatPr defaultColWidth="9.140625" defaultRowHeight="12.75" x14ac:dyDescent="0.2"/>
  <cols>
    <col min="1" max="1" width="2.85546875" style="80" customWidth="1"/>
    <col min="2" max="2" width="45.7109375" style="44" customWidth="1"/>
    <col min="3" max="3" width="0.42578125" style="70" customWidth="1"/>
    <col min="4" max="4" width="30.7109375" style="44" customWidth="1"/>
    <col min="5" max="5" width="0.42578125" style="70" customWidth="1"/>
    <col min="6" max="6" width="16.42578125" style="44" customWidth="1"/>
    <col min="7" max="7" width="0.42578125" style="70" customWidth="1"/>
    <col min="8" max="8" width="10.7109375" style="44" customWidth="1"/>
    <col min="9" max="9" width="0.42578125" style="70" customWidth="1"/>
    <col min="10" max="10" width="15" style="44" customWidth="1"/>
    <col min="11" max="11" width="0.42578125" style="70" customWidth="1"/>
    <col min="12" max="12" width="13.7109375" style="44" customWidth="1"/>
    <col min="13" max="13" width="0.42578125" style="70" customWidth="1"/>
    <col min="14" max="14" width="9" style="44" customWidth="1"/>
    <col min="15" max="15" width="34.28515625" style="85" hidden="1" customWidth="1"/>
    <col min="16" max="16" width="9.140625" style="79" hidden="1" customWidth="1"/>
    <col min="17" max="17" width="15.42578125" style="79" hidden="1" customWidth="1"/>
    <col min="18" max="22" width="9.140625" style="79" hidden="1" customWidth="1"/>
    <col min="23" max="16384" width="9.140625" style="79"/>
  </cols>
  <sheetData>
    <row r="1" spans="1:29" ht="22.5" customHeight="1" x14ac:dyDescent="0.2">
      <c r="A1" s="738" t="s">
        <v>333</v>
      </c>
      <c r="B1" s="739"/>
      <c r="C1" s="256"/>
      <c r="D1" s="740" t="str">
        <f>CONCATENATE("LB - ",P5)</f>
        <v>LB - Letenye Város Önkormányzata</v>
      </c>
      <c r="E1" s="741"/>
      <c r="F1" s="741"/>
      <c r="G1" s="741"/>
      <c r="H1" s="741"/>
      <c r="I1" s="741"/>
      <c r="J1" s="741"/>
      <c r="K1" s="741"/>
      <c r="L1" s="741"/>
      <c r="M1" s="741"/>
      <c r="N1" s="741"/>
      <c r="R1" s="79" t="s">
        <v>167</v>
      </c>
      <c r="S1" s="79" t="s">
        <v>167</v>
      </c>
      <c r="T1" s="79" t="s">
        <v>167</v>
      </c>
    </row>
    <row r="2" spans="1:29" x14ac:dyDescent="0.2">
      <c r="C2" s="44"/>
      <c r="E2" s="44"/>
      <c r="G2" s="44"/>
      <c r="I2" s="44"/>
      <c r="K2" s="44"/>
      <c r="M2" s="44"/>
      <c r="O2" s="44"/>
      <c r="P2" s="44"/>
      <c r="Q2" s="44"/>
      <c r="R2" s="44"/>
      <c r="S2" s="44"/>
      <c r="T2" s="44"/>
      <c r="U2" s="44"/>
      <c r="V2" s="44"/>
      <c r="W2" s="44"/>
      <c r="X2" s="44"/>
      <c r="Y2" s="44"/>
      <c r="Z2" s="44"/>
      <c r="AA2" s="44"/>
      <c r="AB2" s="44"/>
      <c r="AC2" s="44"/>
    </row>
    <row r="3" spans="1:29" x14ac:dyDescent="0.2">
      <c r="B3" s="101" t="s">
        <v>139</v>
      </c>
      <c r="C3" s="44"/>
      <c r="D3" s="712" t="str">
        <f>T('1. General Data'!C14:M14)</f>
        <v>Happy Bike</v>
      </c>
      <c r="E3" s="713"/>
      <c r="F3" s="713"/>
      <c r="G3" s="713"/>
      <c r="H3" s="713"/>
      <c r="I3" s="713"/>
      <c r="J3" s="713"/>
      <c r="K3" s="713"/>
      <c r="L3" s="713"/>
      <c r="M3" s="713"/>
      <c r="N3" s="714"/>
      <c r="O3" s="44"/>
      <c r="P3" s="44"/>
      <c r="Q3" s="44"/>
      <c r="R3" s="44"/>
      <c r="S3" s="44"/>
      <c r="T3" s="44"/>
      <c r="U3" s="44"/>
      <c r="V3" s="44"/>
      <c r="W3" s="44"/>
      <c r="X3" s="44"/>
      <c r="Y3" s="44"/>
      <c r="Z3" s="44"/>
      <c r="AA3" s="44"/>
      <c r="AB3" s="44"/>
      <c r="AC3" s="44"/>
    </row>
    <row r="4" spans="1:29" ht="6" customHeight="1" x14ac:dyDescent="0.2">
      <c r="C4" s="44"/>
      <c r="E4" s="44"/>
      <c r="G4" s="44"/>
      <c r="I4" s="44"/>
      <c r="K4" s="44"/>
      <c r="M4" s="44"/>
      <c r="O4" s="44"/>
      <c r="P4" s="44"/>
      <c r="Q4" s="44"/>
      <c r="R4" s="44"/>
      <c r="S4" s="44"/>
      <c r="T4" s="44"/>
      <c r="U4" s="44"/>
      <c r="V4" s="44"/>
      <c r="W4" s="44"/>
      <c r="X4" s="44"/>
      <c r="Y4" s="44"/>
      <c r="Z4" s="44"/>
      <c r="AA4" s="44"/>
      <c r="AB4" s="44"/>
      <c r="AC4" s="44"/>
    </row>
    <row r="5" spans="1:29" x14ac:dyDescent="0.2">
      <c r="B5" s="101" t="s">
        <v>138</v>
      </c>
      <c r="C5" s="44"/>
      <c r="D5" s="712" t="str">
        <f>T(LEFT('2. LB data'!C5,80))</f>
        <v>Letenye Város Önkormányzata</v>
      </c>
      <c r="E5" s="713"/>
      <c r="F5" s="713"/>
      <c r="G5" s="713"/>
      <c r="H5" s="713"/>
      <c r="I5" s="713"/>
      <c r="J5" s="713"/>
      <c r="K5" s="713"/>
      <c r="L5" s="713"/>
      <c r="M5" s="713"/>
      <c r="N5" s="714"/>
      <c r="O5" s="44"/>
      <c r="P5" s="236" t="str">
        <f>LEFT('2. LB data'!C5,80)</f>
        <v>Letenye Város Önkormányzata</v>
      </c>
      <c r="Q5" s="44"/>
      <c r="R5" s="44"/>
      <c r="S5" s="44"/>
      <c r="T5" s="44"/>
      <c r="U5" s="44"/>
      <c r="V5" s="44"/>
      <c r="W5" s="44"/>
      <c r="X5" s="44"/>
      <c r="Y5" s="44"/>
      <c r="Z5" s="44"/>
      <c r="AA5" s="44"/>
      <c r="AB5" s="44"/>
      <c r="AC5" s="44"/>
    </row>
    <row r="6" spans="1:29" x14ac:dyDescent="0.2">
      <c r="B6" s="152"/>
      <c r="D6" s="152"/>
      <c r="F6" s="152"/>
      <c r="H6" s="152"/>
      <c r="J6" s="152"/>
      <c r="L6" s="152"/>
    </row>
    <row r="7" spans="1:29" x14ac:dyDescent="0.2">
      <c r="B7" s="152"/>
      <c r="D7" s="152"/>
      <c r="F7" s="152"/>
      <c r="H7" s="152"/>
      <c r="J7" s="152"/>
      <c r="L7" s="152"/>
    </row>
    <row r="8" spans="1:29" ht="28.5" customHeight="1" x14ac:dyDescent="0.2">
      <c r="A8" s="269" t="s">
        <v>30</v>
      </c>
      <c r="B8" s="289" t="s">
        <v>39</v>
      </c>
      <c r="C8" s="281"/>
      <c r="D8" s="767" t="s">
        <v>652</v>
      </c>
      <c r="E8" s="768"/>
      <c r="F8" s="768"/>
      <c r="G8" s="768"/>
      <c r="H8" s="769"/>
      <c r="I8" s="281"/>
      <c r="J8" s="289" t="s">
        <v>18</v>
      </c>
      <c r="K8" s="282"/>
      <c r="L8" s="284">
        <f>L10+L12+L40+L42+L99+L206+L228</f>
        <v>414577.5</v>
      </c>
      <c r="M8" s="283"/>
      <c r="N8" s="290">
        <f>IF(L$8=0,0%,L8/L$8)</f>
        <v>1</v>
      </c>
      <c r="O8" s="85">
        <f>IF(O10&gt;0,D8,0)</f>
        <v>0</v>
      </c>
      <c r="P8" s="231"/>
      <c r="Q8" s="231" t="str">
        <f>IF(AND(Q10=P8,Q17=P8,Q149=P8,Q248=P8)," ",D8)</f>
        <v xml:space="preserve"> </v>
      </c>
    </row>
    <row r="9" spans="1:29" s="76" customFormat="1" ht="3" customHeight="1" x14ac:dyDescent="0.2">
      <c r="A9" s="87"/>
      <c r="B9" s="88"/>
      <c r="C9" s="88"/>
      <c r="D9" s="70"/>
      <c r="E9" s="70"/>
      <c r="F9" s="70"/>
      <c r="G9" s="70"/>
      <c r="H9" s="70"/>
      <c r="I9" s="70"/>
      <c r="J9" s="70"/>
      <c r="K9" s="88"/>
      <c r="L9" s="281"/>
      <c r="M9" s="70"/>
      <c r="N9" s="70"/>
      <c r="O9" s="89"/>
    </row>
    <row r="10" spans="1:29" ht="27" customHeight="1" x14ac:dyDescent="0.2">
      <c r="A10" s="247">
        <v>1</v>
      </c>
      <c r="B10" s="248" t="s">
        <v>60</v>
      </c>
      <c r="C10" s="249"/>
      <c r="D10" s="764" t="s">
        <v>280</v>
      </c>
      <c r="E10" s="765"/>
      <c r="F10" s="765"/>
      <c r="G10" s="765"/>
      <c r="H10" s="766"/>
      <c r="I10" s="250"/>
      <c r="J10" s="251" t="s">
        <v>18</v>
      </c>
      <c r="K10" s="249"/>
      <c r="L10" s="286">
        <f>3000-'8. B1 budget'!L10-'8. B2 budget'!L10-'8. B3 budget'!L10-'8. B4 budget'!L10-'8. B5 budget'!L10-'8. B6 budget'!L10-'8. B7 budget'!L10</f>
        <v>3000</v>
      </c>
      <c r="M10" s="287"/>
      <c r="N10" s="288">
        <f>IF(L10=0,0%,L10/L$8)</f>
        <v>7.2362827215659313E-3</v>
      </c>
      <c r="O10" s="497">
        <f>SUM(O11:O260)</f>
        <v>0</v>
      </c>
      <c r="P10" s="231"/>
      <c r="Q10" s="231" t="str">
        <f>IF(OR(L10&gt;3000,L10&lt;0),D10,"")</f>
        <v/>
      </c>
    </row>
    <row r="11" spans="1:29" x14ac:dyDescent="0.2">
      <c r="B11" s="104"/>
      <c r="C11" s="88"/>
      <c r="D11" s="81"/>
      <c r="F11" s="81"/>
      <c r="H11" s="81"/>
      <c r="J11" s="81"/>
      <c r="K11" s="88"/>
      <c r="L11" s="81"/>
      <c r="N11" s="227"/>
    </row>
    <row r="12" spans="1:29" ht="27" customHeight="1" x14ac:dyDescent="0.2">
      <c r="A12" s="247">
        <v>2</v>
      </c>
      <c r="B12" s="248" t="s">
        <v>285</v>
      </c>
      <c r="C12" s="249"/>
      <c r="D12" s="770" t="str">
        <f>IF(AND(L14&gt;0,L16&gt;0),"Calculation of staff costs should be either on flat rate or on real cost basis (both options cannot be used together)!"," ")</f>
        <v xml:space="preserve"> </v>
      </c>
      <c r="E12" s="771"/>
      <c r="F12" s="771"/>
      <c r="G12" s="771"/>
      <c r="H12" s="772"/>
      <c r="I12" s="250"/>
      <c r="J12" s="251" t="s">
        <v>18</v>
      </c>
      <c r="K12" s="249"/>
      <c r="L12" s="252">
        <f>IF(L14&gt;0,L14,L16)</f>
        <v>7000</v>
      </c>
      <c r="M12" s="250"/>
      <c r="N12" s="253">
        <f>IF(L12=0,0%,L12/L$8)</f>
        <v>1.6884659683653842E-2</v>
      </c>
      <c r="O12" s="495">
        <f>IF(LEN(D12)&gt;1,1,0)</f>
        <v>0</v>
      </c>
      <c r="P12" s="95"/>
    </row>
    <row r="13" spans="1:29" s="76" customFormat="1" ht="7.5" customHeight="1" x14ac:dyDescent="0.2">
      <c r="A13" s="87"/>
      <c r="B13" s="88"/>
      <c r="C13" s="88"/>
      <c r="D13" s="70"/>
      <c r="E13" s="70"/>
      <c r="F13" s="70"/>
      <c r="G13" s="70"/>
      <c r="H13" s="70"/>
      <c r="I13" s="70"/>
      <c r="J13" s="70"/>
      <c r="K13" s="88"/>
      <c r="L13" s="70"/>
      <c r="M13" s="70"/>
      <c r="N13" s="70"/>
      <c r="O13" s="89"/>
      <c r="V13" s="79"/>
    </row>
    <row r="14" spans="1:29" ht="25.5" x14ac:dyDescent="0.2">
      <c r="A14" s="347"/>
      <c r="B14" s="348" t="s">
        <v>313</v>
      </c>
      <c r="C14" s="345"/>
      <c r="D14" s="777" t="s">
        <v>723</v>
      </c>
      <c r="E14" s="778"/>
      <c r="F14" s="778"/>
      <c r="G14" s="778"/>
      <c r="H14" s="779"/>
      <c r="I14" s="346"/>
      <c r="J14" s="349" t="s">
        <v>18</v>
      </c>
      <c r="K14" s="88"/>
      <c r="L14" s="156">
        <f>FLOOR(IF(D14=V15,IF((L228&gt;0),IF((L99+L208+L228)*0.1&gt;P14,P14,(L99+L208+L228)*0.1),IF((L99+L208+L228)*0.2&gt;P14,P14,(L99+L208+L228)*0.2)),0),0.01)</f>
        <v>0</v>
      </c>
      <c r="M14" s="246"/>
      <c r="N14" s="147">
        <f>IF(L14=0,0%,L14/L$8)</f>
        <v>0</v>
      </c>
      <c r="O14" s="353"/>
      <c r="P14" s="356">
        <v>100000</v>
      </c>
      <c r="Q14" s="231" t="str">
        <f>IF(L14&gt;P14,D14,"")</f>
        <v/>
      </c>
      <c r="R14" s="79" t="e">
        <f>IF(AND(R20="NOT",R21="NOT",R22="NOT",R23="NOT",R24="NOT",R25="NOT",S20="NOT",S21="NOT",S22="NOT",S23="NOT",S24="NOT",S25="NOT",T20="NOT",T21="NOT",T22="NOT",T23="NOT",T24="NOT",T25="NOT",#REF!="NOT"),"NOT",D14)</f>
        <v>#REF!</v>
      </c>
      <c r="V14" s="79" t="s">
        <v>282</v>
      </c>
    </row>
    <row r="15" spans="1:29" s="76" customFormat="1" ht="27" customHeight="1" x14ac:dyDescent="0.2">
      <c r="A15" s="87"/>
      <c r="B15" s="780" t="s">
        <v>599</v>
      </c>
      <c r="C15" s="781"/>
      <c r="D15" s="781"/>
      <c r="E15" s="781"/>
      <c r="F15" s="781"/>
      <c r="G15" s="781"/>
      <c r="H15" s="781"/>
      <c r="I15" s="781"/>
      <c r="J15" s="781"/>
      <c r="K15" s="781"/>
      <c r="L15" s="781"/>
      <c r="M15" s="70"/>
      <c r="N15" s="70"/>
      <c r="O15" s="353"/>
      <c r="P15" s="503" t="str">
        <f>IF(AND(D14=V15,(L228=L8-L10-L226-L40-L14),L228&gt;0),B15," ")</f>
        <v xml:space="preserve"> </v>
      </c>
      <c r="Q15" s="355"/>
      <c r="V15" s="79" t="s">
        <v>644</v>
      </c>
    </row>
    <row r="16" spans="1:29" ht="25.5" customHeight="1" x14ac:dyDescent="0.2">
      <c r="A16" s="347"/>
      <c r="B16" s="348" t="s">
        <v>314</v>
      </c>
      <c r="C16" s="345"/>
      <c r="D16" s="773" t="s">
        <v>166</v>
      </c>
      <c r="E16" s="774"/>
      <c r="F16" s="774"/>
      <c r="G16" s="774"/>
      <c r="H16" s="775"/>
      <c r="I16" s="346"/>
      <c r="J16" s="349" t="s">
        <v>18</v>
      </c>
      <c r="K16" s="88"/>
      <c r="L16" s="156">
        <f>SUM(L23:L37)</f>
        <v>7000</v>
      </c>
      <c r="M16" s="246"/>
      <c r="N16" s="147">
        <f>IF(L16=0,0%,L16/L$8)</f>
        <v>1.6884659683653842E-2</v>
      </c>
      <c r="O16" s="495">
        <f>IF(LEN(R16)&gt;3,1,0)</f>
        <v>0</v>
      </c>
      <c r="R16" s="494" t="str">
        <f>IF(AND(R22="NOT",S22="NOT",T22="NOT",R18="NOT"),"NOT",D16)</f>
        <v>NOT</v>
      </c>
      <c r="V16" s="79" t="s">
        <v>283</v>
      </c>
    </row>
    <row r="17" spans="1:22" s="76" customFormat="1" ht="15" customHeight="1" x14ac:dyDescent="0.2">
      <c r="A17" s="87"/>
      <c r="B17" s="752"/>
      <c r="C17" s="776"/>
      <c r="D17" s="776"/>
      <c r="E17" s="776"/>
      <c r="F17" s="776"/>
      <c r="G17" s="776"/>
      <c r="H17" s="776"/>
      <c r="I17" s="776"/>
      <c r="J17" s="776"/>
      <c r="K17" s="776"/>
      <c r="L17" s="776"/>
      <c r="M17" s="70"/>
      <c r="N17" s="70"/>
      <c r="O17" s="353"/>
      <c r="P17" s="271"/>
      <c r="Q17" s="231"/>
      <c r="V17" s="79"/>
    </row>
    <row r="18" spans="1:22" x14ac:dyDescent="0.2">
      <c r="B18" s="742" t="s">
        <v>84</v>
      </c>
      <c r="C18" s="743"/>
      <c r="D18" s="743"/>
      <c r="E18" s="743"/>
      <c r="F18" s="743"/>
      <c r="H18" s="81"/>
      <c r="J18" s="81"/>
      <c r="K18" s="88"/>
      <c r="L18" s="81"/>
      <c r="N18" s="227"/>
      <c r="R18" s="494" t="str">
        <f>IF(AND(($L16&gt;0),ISBLANK(B20)),B18,"NOT")</f>
        <v>NOT</v>
      </c>
    </row>
    <row r="19" spans="1:22" ht="3" customHeight="1" x14ac:dyDescent="0.2">
      <c r="B19" s="104"/>
      <c r="C19" s="88"/>
      <c r="D19" s="81"/>
      <c r="F19" s="81"/>
      <c r="H19" s="81"/>
      <c r="J19" s="81"/>
      <c r="K19" s="88"/>
      <c r="L19" s="81"/>
      <c r="N19" s="227"/>
    </row>
    <row r="20" spans="1:22" ht="81" customHeight="1" x14ac:dyDescent="0.2">
      <c r="B20" s="763" t="s">
        <v>725</v>
      </c>
      <c r="C20" s="745"/>
      <c r="D20" s="745"/>
      <c r="E20" s="745"/>
      <c r="F20" s="745"/>
      <c r="G20" s="745"/>
      <c r="H20" s="745"/>
      <c r="I20" s="745"/>
      <c r="J20" s="745"/>
      <c r="K20" s="745"/>
      <c r="L20" s="746"/>
      <c r="M20" s="70" t="s">
        <v>19</v>
      </c>
      <c r="N20" s="227"/>
    </row>
    <row r="21" spans="1:22" ht="3.75" customHeight="1" x14ac:dyDescent="0.2">
      <c r="B21" s="104"/>
      <c r="C21" s="88"/>
      <c r="D21" s="81"/>
      <c r="F21" s="81"/>
      <c r="H21" s="81"/>
      <c r="J21" s="81"/>
      <c r="K21" s="88"/>
      <c r="L21" s="81"/>
      <c r="N21" s="227"/>
    </row>
    <row r="22" spans="1:22" ht="38.25" x14ac:dyDescent="0.2">
      <c r="B22" s="244" t="s">
        <v>201</v>
      </c>
      <c r="C22" s="88"/>
      <c r="D22" s="244" t="s">
        <v>580</v>
      </c>
      <c r="F22" s="244" t="s">
        <v>205</v>
      </c>
      <c r="H22" s="244" t="s">
        <v>16</v>
      </c>
      <c r="J22" s="244" t="s">
        <v>15</v>
      </c>
      <c r="K22" s="245"/>
      <c r="L22" s="103" t="s">
        <v>141</v>
      </c>
      <c r="N22" s="81"/>
      <c r="R22" s="496" t="str">
        <f>IF(AND(R23="NOT",R24="NOT",R25="NOT",R26="NOT",R27="NOT",R28="NOT",R29="NOT",R30="NOT",R31="NOT",R32="NOT",R33="NOT",R34="NOT",R35="NOT",R36="NOT",R37="NOT"),"NOT",1)</f>
        <v>NOT</v>
      </c>
      <c r="S22" s="496" t="str">
        <f>IF(AND(S23="NOT",S24="NOT",S25="NOT",S26="NOT",S27="NOT",S28="NOT",S29="NOT",S30="NOT",S31="NOT",S32="NOT",S33="NOT",S34="NOT",S35="NOT",S36="NOT",S37="NOT"),"NOT",1)</f>
        <v>NOT</v>
      </c>
      <c r="T22" s="496" t="str">
        <f>IF(AND(T23="NOT",T24="NOT",T25="NOT",T26="NOT",T27="NOT",T28="NOT",T29="NOT",T30="NOT",T31="NOT",T32="NOT",T33="NOT",T34="NOT",T35="NOT",T36="NOT",T37="NOT"),"NOT",1)</f>
        <v>NOT</v>
      </c>
    </row>
    <row r="23" spans="1:22" ht="25.5" x14ac:dyDescent="0.2">
      <c r="B23" s="526" t="s">
        <v>1081</v>
      </c>
      <c r="C23" s="88"/>
      <c r="D23" s="260" t="s">
        <v>724</v>
      </c>
      <c r="E23" s="243"/>
      <c r="F23" s="261" t="s">
        <v>85</v>
      </c>
      <c r="G23" s="243"/>
      <c r="H23" s="262">
        <v>20</v>
      </c>
      <c r="I23" s="243"/>
      <c r="J23" s="543">
        <v>350</v>
      </c>
      <c r="K23" s="88"/>
      <c r="L23" s="143">
        <f t="shared" ref="L23:L28" si="0">TRUNC(H23*J23,2)</f>
        <v>7000</v>
      </c>
      <c r="N23" s="81"/>
      <c r="R23" s="79" t="str">
        <f t="shared" ref="R23:R28" si="1">IF(AND(($L23&gt;0),ISBLANK(B23)),B23,"NOT")</f>
        <v>NOT</v>
      </c>
      <c r="S23" s="79" t="str">
        <f t="shared" ref="S23:S28" si="2">IF(AND(($L23&gt;0),ISBLANK(D23)),D23,"NOT")</f>
        <v>NOT</v>
      </c>
      <c r="T23" s="79" t="str">
        <f t="shared" ref="T23:T28" si="3">IF(AND(($L23&gt;0),ISBLANK(F23)),F23,"NOT")</f>
        <v>NOT</v>
      </c>
      <c r="V23" s="79" t="str">
        <f>LEFT(D23,3)</f>
        <v xml:space="preserve">1. </v>
      </c>
    </row>
    <row r="24" spans="1:22" x14ac:dyDescent="0.2">
      <c r="B24" s="259"/>
      <c r="C24" s="88"/>
      <c r="D24" s="260"/>
      <c r="E24" s="243"/>
      <c r="F24" s="261" t="s">
        <v>85</v>
      </c>
      <c r="G24" s="243"/>
      <c r="H24" s="262"/>
      <c r="I24" s="243"/>
      <c r="J24" s="262"/>
      <c r="K24" s="88"/>
      <c r="L24" s="143">
        <f t="shared" si="0"/>
        <v>0</v>
      </c>
      <c r="N24" s="81"/>
      <c r="R24" s="79" t="str">
        <f t="shared" si="1"/>
        <v>NOT</v>
      </c>
      <c r="S24" s="79" t="str">
        <f t="shared" si="2"/>
        <v>NOT</v>
      </c>
      <c r="T24" s="79" t="str">
        <f t="shared" si="3"/>
        <v>NOT</v>
      </c>
      <c r="V24" s="79" t="str">
        <f t="shared" ref="V24:V78" si="4">LEFT(D24,3)</f>
        <v/>
      </c>
    </row>
    <row r="25" spans="1:22" x14ac:dyDescent="0.2">
      <c r="B25" s="259"/>
      <c r="C25" s="88"/>
      <c r="D25" s="260"/>
      <c r="E25" s="243"/>
      <c r="F25" s="261" t="s">
        <v>85</v>
      </c>
      <c r="G25" s="243"/>
      <c r="H25" s="262"/>
      <c r="I25" s="243"/>
      <c r="J25" s="262"/>
      <c r="K25" s="88"/>
      <c r="L25" s="143">
        <f t="shared" si="0"/>
        <v>0</v>
      </c>
      <c r="N25" s="81"/>
      <c r="R25" s="79" t="str">
        <f t="shared" si="1"/>
        <v>NOT</v>
      </c>
      <c r="S25" s="79" t="str">
        <f t="shared" si="2"/>
        <v>NOT</v>
      </c>
      <c r="T25" s="79" t="str">
        <f t="shared" si="3"/>
        <v>NOT</v>
      </c>
      <c r="V25" s="79" t="str">
        <f t="shared" si="4"/>
        <v/>
      </c>
    </row>
    <row r="26" spans="1:22" x14ac:dyDescent="0.2">
      <c r="B26" s="259"/>
      <c r="C26" s="88"/>
      <c r="D26" s="260"/>
      <c r="E26" s="243"/>
      <c r="F26" s="261" t="s">
        <v>85</v>
      </c>
      <c r="G26" s="243"/>
      <c r="H26" s="262"/>
      <c r="I26" s="243"/>
      <c r="J26" s="262"/>
      <c r="K26" s="88"/>
      <c r="L26" s="143">
        <f t="shared" si="0"/>
        <v>0</v>
      </c>
      <c r="N26" s="81"/>
      <c r="R26" s="79" t="str">
        <f t="shared" si="1"/>
        <v>NOT</v>
      </c>
      <c r="S26" s="79" t="str">
        <f t="shared" si="2"/>
        <v>NOT</v>
      </c>
      <c r="T26" s="79" t="str">
        <f t="shared" si="3"/>
        <v>NOT</v>
      </c>
      <c r="V26" s="79" t="str">
        <f t="shared" si="4"/>
        <v/>
      </c>
    </row>
    <row r="27" spans="1:22" x14ac:dyDescent="0.2">
      <c r="B27" s="259"/>
      <c r="C27" s="88"/>
      <c r="D27" s="260"/>
      <c r="E27" s="243"/>
      <c r="F27" s="261" t="s">
        <v>85</v>
      </c>
      <c r="G27" s="243"/>
      <c r="H27" s="262"/>
      <c r="I27" s="243"/>
      <c r="J27" s="262"/>
      <c r="K27" s="88"/>
      <c r="L27" s="143">
        <f t="shared" si="0"/>
        <v>0</v>
      </c>
      <c r="N27" s="81"/>
      <c r="R27" s="79" t="str">
        <f t="shared" si="1"/>
        <v>NOT</v>
      </c>
      <c r="S27" s="79" t="str">
        <f t="shared" si="2"/>
        <v>NOT</v>
      </c>
      <c r="T27" s="79" t="str">
        <f t="shared" si="3"/>
        <v>NOT</v>
      </c>
      <c r="V27" s="79" t="str">
        <f t="shared" si="4"/>
        <v/>
      </c>
    </row>
    <row r="28" spans="1:22" x14ac:dyDescent="0.2">
      <c r="B28" s="259"/>
      <c r="C28" s="88"/>
      <c r="D28" s="260"/>
      <c r="E28" s="243"/>
      <c r="F28" s="261" t="s">
        <v>85</v>
      </c>
      <c r="G28" s="243"/>
      <c r="H28" s="262"/>
      <c r="I28" s="243"/>
      <c r="J28" s="262"/>
      <c r="K28" s="88"/>
      <c r="L28" s="143">
        <f t="shared" si="0"/>
        <v>0</v>
      </c>
      <c r="N28" s="81"/>
      <c r="R28" s="79" t="str">
        <f t="shared" si="1"/>
        <v>NOT</v>
      </c>
      <c r="S28" s="79" t="str">
        <f t="shared" si="2"/>
        <v>NOT</v>
      </c>
      <c r="T28" s="79" t="str">
        <f t="shared" si="3"/>
        <v>NOT</v>
      </c>
      <c r="V28" s="79" t="str">
        <f t="shared" si="4"/>
        <v/>
      </c>
    </row>
    <row r="29" spans="1:22" x14ac:dyDescent="0.2">
      <c r="B29" s="259"/>
      <c r="C29" s="88"/>
      <c r="D29" s="260"/>
      <c r="E29" s="243"/>
      <c r="F29" s="261" t="s">
        <v>85</v>
      </c>
      <c r="G29" s="243"/>
      <c r="H29" s="262"/>
      <c r="I29" s="243"/>
      <c r="J29" s="262"/>
      <c r="K29" s="88"/>
      <c r="L29" s="143">
        <f t="shared" ref="L29:L37" si="5">TRUNC(H29*J29,2)</f>
        <v>0</v>
      </c>
      <c r="N29" s="81"/>
      <c r="R29" s="79" t="str">
        <f t="shared" ref="R29:R37" si="6">IF(AND(($L29&gt;0),ISBLANK(B29)),B29,"NOT")</f>
        <v>NOT</v>
      </c>
      <c r="S29" s="79" t="str">
        <f t="shared" ref="S29:S37" si="7">IF(AND(($L29&gt;0),ISBLANK(D29)),D29,"NOT")</f>
        <v>NOT</v>
      </c>
      <c r="T29" s="79" t="str">
        <f t="shared" ref="T29:T37" si="8">IF(AND(($L29&gt;0),ISBLANK(F29)),F29,"NOT")</f>
        <v>NOT</v>
      </c>
      <c r="V29" s="79" t="str">
        <f t="shared" si="4"/>
        <v/>
      </c>
    </row>
    <row r="30" spans="1:22" x14ac:dyDescent="0.2">
      <c r="B30" s="259"/>
      <c r="C30" s="88"/>
      <c r="D30" s="260"/>
      <c r="E30" s="243"/>
      <c r="F30" s="261" t="s">
        <v>85</v>
      </c>
      <c r="G30" s="243"/>
      <c r="H30" s="262"/>
      <c r="I30" s="243"/>
      <c r="J30" s="262"/>
      <c r="K30" s="88"/>
      <c r="L30" s="143">
        <f t="shared" si="5"/>
        <v>0</v>
      </c>
      <c r="N30" s="81"/>
      <c r="R30" s="79" t="str">
        <f t="shared" si="6"/>
        <v>NOT</v>
      </c>
      <c r="S30" s="79" t="str">
        <f t="shared" si="7"/>
        <v>NOT</v>
      </c>
      <c r="T30" s="79" t="str">
        <f t="shared" si="8"/>
        <v>NOT</v>
      </c>
      <c r="V30" s="79" t="str">
        <f t="shared" si="4"/>
        <v/>
      </c>
    </row>
    <row r="31" spans="1:22" x14ac:dyDescent="0.2">
      <c r="B31" s="259"/>
      <c r="C31" s="88"/>
      <c r="D31" s="260"/>
      <c r="E31" s="243"/>
      <c r="F31" s="261" t="s">
        <v>85</v>
      </c>
      <c r="G31" s="243"/>
      <c r="H31" s="262"/>
      <c r="I31" s="243"/>
      <c r="J31" s="262"/>
      <c r="K31" s="88"/>
      <c r="L31" s="143">
        <f t="shared" si="5"/>
        <v>0</v>
      </c>
      <c r="N31" s="81"/>
      <c r="R31" s="79" t="str">
        <f t="shared" si="6"/>
        <v>NOT</v>
      </c>
      <c r="S31" s="79" t="str">
        <f t="shared" si="7"/>
        <v>NOT</v>
      </c>
      <c r="T31" s="79" t="str">
        <f t="shared" si="8"/>
        <v>NOT</v>
      </c>
      <c r="V31" s="79" t="str">
        <f t="shared" si="4"/>
        <v/>
      </c>
    </row>
    <row r="32" spans="1:22" x14ac:dyDescent="0.2">
      <c r="B32" s="259"/>
      <c r="C32" s="88"/>
      <c r="D32" s="260"/>
      <c r="E32" s="243"/>
      <c r="F32" s="261" t="s">
        <v>85</v>
      </c>
      <c r="G32" s="243"/>
      <c r="H32" s="262"/>
      <c r="I32" s="243"/>
      <c r="J32" s="262"/>
      <c r="K32" s="88"/>
      <c r="L32" s="143">
        <f t="shared" si="5"/>
        <v>0</v>
      </c>
      <c r="N32" s="81"/>
      <c r="R32" s="79" t="str">
        <f t="shared" si="6"/>
        <v>NOT</v>
      </c>
      <c r="S32" s="79" t="str">
        <f t="shared" si="7"/>
        <v>NOT</v>
      </c>
      <c r="T32" s="79" t="str">
        <f t="shared" si="8"/>
        <v>NOT</v>
      </c>
      <c r="V32" s="79" t="str">
        <f t="shared" si="4"/>
        <v/>
      </c>
    </row>
    <row r="33" spans="1:22" x14ac:dyDescent="0.2">
      <c r="B33" s="259"/>
      <c r="C33" s="88"/>
      <c r="D33" s="260"/>
      <c r="E33" s="243"/>
      <c r="F33" s="261" t="s">
        <v>85</v>
      </c>
      <c r="G33" s="243"/>
      <c r="H33" s="262"/>
      <c r="I33" s="243"/>
      <c r="J33" s="262"/>
      <c r="K33" s="88"/>
      <c r="L33" s="143">
        <f t="shared" si="5"/>
        <v>0</v>
      </c>
      <c r="N33" s="81"/>
      <c r="R33" s="79" t="str">
        <f t="shared" si="6"/>
        <v>NOT</v>
      </c>
      <c r="S33" s="79" t="str">
        <f t="shared" si="7"/>
        <v>NOT</v>
      </c>
      <c r="T33" s="79" t="str">
        <f t="shared" si="8"/>
        <v>NOT</v>
      </c>
      <c r="V33" s="79" t="str">
        <f t="shared" si="4"/>
        <v/>
      </c>
    </row>
    <row r="34" spans="1:22" x14ac:dyDescent="0.2">
      <c r="B34" s="259"/>
      <c r="C34" s="88"/>
      <c r="D34" s="260"/>
      <c r="E34" s="243"/>
      <c r="F34" s="261" t="s">
        <v>85</v>
      </c>
      <c r="G34" s="243"/>
      <c r="H34" s="262"/>
      <c r="I34" s="243"/>
      <c r="J34" s="262"/>
      <c r="K34" s="88"/>
      <c r="L34" s="143">
        <f t="shared" si="5"/>
        <v>0</v>
      </c>
      <c r="N34" s="81"/>
      <c r="R34" s="79" t="str">
        <f t="shared" si="6"/>
        <v>NOT</v>
      </c>
      <c r="S34" s="79" t="str">
        <f t="shared" si="7"/>
        <v>NOT</v>
      </c>
      <c r="T34" s="79" t="str">
        <f t="shared" si="8"/>
        <v>NOT</v>
      </c>
      <c r="V34" s="79" t="str">
        <f t="shared" si="4"/>
        <v/>
      </c>
    </row>
    <row r="35" spans="1:22" x14ac:dyDescent="0.2">
      <c r="B35" s="259"/>
      <c r="C35" s="88"/>
      <c r="D35" s="260"/>
      <c r="E35" s="243"/>
      <c r="F35" s="261" t="s">
        <v>85</v>
      </c>
      <c r="G35" s="243"/>
      <c r="H35" s="262"/>
      <c r="I35" s="243"/>
      <c r="J35" s="262"/>
      <c r="K35" s="88"/>
      <c r="L35" s="143">
        <f t="shared" si="5"/>
        <v>0</v>
      </c>
      <c r="N35" s="81"/>
      <c r="R35" s="79" t="str">
        <f t="shared" si="6"/>
        <v>NOT</v>
      </c>
      <c r="S35" s="79" t="str">
        <f t="shared" si="7"/>
        <v>NOT</v>
      </c>
      <c r="T35" s="79" t="str">
        <f t="shared" si="8"/>
        <v>NOT</v>
      </c>
      <c r="V35" s="79" t="str">
        <f t="shared" si="4"/>
        <v/>
      </c>
    </row>
    <row r="36" spans="1:22" x14ac:dyDescent="0.2">
      <c r="B36" s="259"/>
      <c r="C36" s="88"/>
      <c r="D36" s="260"/>
      <c r="E36" s="243"/>
      <c r="F36" s="261" t="s">
        <v>85</v>
      </c>
      <c r="G36" s="243"/>
      <c r="H36" s="262"/>
      <c r="I36" s="243"/>
      <c r="J36" s="262"/>
      <c r="K36" s="88"/>
      <c r="L36" s="143">
        <f t="shared" si="5"/>
        <v>0</v>
      </c>
      <c r="N36" s="81"/>
      <c r="R36" s="79" t="str">
        <f t="shared" si="6"/>
        <v>NOT</v>
      </c>
      <c r="S36" s="79" t="str">
        <f t="shared" si="7"/>
        <v>NOT</v>
      </c>
      <c r="T36" s="79" t="str">
        <f t="shared" si="8"/>
        <v>NOT</v>
      </c>
      <c r="V36" s="79" t="str">
        <f t="shared" si="4"/>
        <v/>
      </c>
    </row>
    <row r="37" spans="1:22" x14ac:dyDescent="0.2">
      <c r="B37" s="259"/>
      <c r="C37" s="88"/>
      <c r="D37" s="260"/>
      <c r="E37" s="243"/>
      <c r="F37" s="261" t="s">
        <v>85</v>
      </c>
      <c r="G37" s="243"/>
      <c r="H37" s="262"/>
      <c r="I37" s="243"/>
      <c r="J37" s="262"/>
      <c r="K37" s="88"/>
      <c r="L37" s="143">
        <f t="shared" si="5"/>
        <v>0</v>
      </c>
      <c r="N37" s="81"/>
      <c r="R37" s="79" t="str">
        <f t="shared" si="6"/>
        <v>NOT</v>
      </c>
      <c r="S37" s="79" t="str">
        <f t="shared" si="7"/>
        <v>NOT</v>
      </c>
      <c r="T37" s="79" t="str">
        <f t="shared" si="8"/>
        <v>NOT</v>
      </c>
      <c r="V37" s="79" t="str">
        <f t="shared" si="4"/>
        <v/>
      </c>
    </row>
    <row r="38" spans="1:22" x14ac:dyDescent="0.2">
      <c r="B38" s="104"/>
      <c r="C38" s="88"/>
      <c r="D38" s="81"/>
      <c r="F38" s="81"/>
      <c r="H38" s="81"/>
      <c r="J38" s="81"/>
      <c r="K38" s="88"/>
      <c r="L38" s="81"/>
      <c r="N38" s="227"/>
    </row>
    <row r="39" spans="1:22" x14ac:dyDescent="0.2">
      <c r="B39" s="104"/>
      <c r="C39" s="88"/>
      <c r="D39" s="81"/>
      <c r="F39" s="81"/>
      <c r="H39" s="81"/>
      <c r="J39" s="81"/>
      <c r="K39" s="88"/>
      <c r="L39" s="81"/>
      <c r="N39" s="227"/>
    </row>
    <row r="40" spans="1:22" ht="27" customHeight="1" x14ac:dyDescent="0.2">
      <c r="A40" s="247">
        <v>3</v>
      </c>
      <c r="B40" s="248" t="s">
        <v>284</v>
      </c>
      <c r="C40" s="249"/>
      <c r="D40" s="783" t="s">
        <v>305</v>
      </c>
      <c r="E40" s="765"/>
      <c r="F40" s="765"/>
      <c r="G40" s="765"/>
      <c r="H40" s="766"/>
      <c r="I40" s="250"/>
      <c r="J40" s="251" t="s">
        <v>18</v>
      </c>
      <c r="K40" s="249"/>
      <c r="L40" s="252">
        <f>ROUNDDOWN(L12*0.15,2)</f>
        <v>1050</v>
      </c>
      <c r="M40" s="250"/>
      <c r="N40" s="253">
        <f>IF(L40=0,0%,L40/L$8)</f>
        <v>2.5326989525480759E-3</v>
      </c>
      <c r="P40" s="270"/>
      <c r="Q40" s="231" t="str">
        <f>IF(N40&gt;P40,D40,"")</f>
        <v>Calculated as a flat rate of 15% of the staff costs</v>
      </c>
      <c r="R40" s="79" t="str">
        <f>IF(OR(N40&gt;O40,N40&gt;P40),"Overhead costs shall not exceed 5 per cent of each partner’s total eligible budget and shall not exceed 25 per cent of the total staff costs in each partner’s budget!","")</f>
        <v>Overhead costs shall not exceed 5 per cent of each partner’s total eligible budget and shall not exceed 25 per cent of the total staff costs in each partner’s budget!</v>
      </c>
      <c r="S40" s="85"/>
    </row>
    <row r="41" spans="1:22" x14ac:dyDescent="0.2">
      <c r="B41" s="104"/>
      <c r="C41" s="88"/>
      <c r="D41" s="81"/>
      <c r="F41" s="81"/>
      <c r="H41" s="81"/>
      <c r="J41" s="81"/>
      <c r="K41" s="88"/>
      <c r="L41" s="81"/>
      <c r="N41" s="227"/>
    </row>
    <row r="42" spans="1:22" ht="27" customHeight="1" x14ac:dyDescent="0.2">
      <c r="A42" s="247">
        <v>4</v>
      </c>
      <c r="B42" s="248" t="s">
        <v>286</v>
      </c>
      <c r="C42" s="249"/>
      <c r="D42" s="784" t="s">
        <v>563</v>
      </c>
      <c r="E42" s="785"/>
      <c r="F42" s="785"/>
      <c r="G42" s="785"/>
      <c r="H42" s="786"/>
      <c r="I42" s="250"/>
      <c r="J42" s="251" t="s">
        <v>18</v>
      </c>
      <c r="K42" s="249"/>
      <c r="L42" s="252">
        <f>IF(L14&gt;0,0,(L44+L62+L80))</f>
        <v>0</v>
      </c>
      <c r="M42" s="250"/>
      <c r="N42" s="253">
        <f>IF(L42=0,0%,L42/L$8)</f>
        <v>0</v>
      </c>
      <c r="O42" s="495">
        <f>IF(LEN(Q42)&gt;1,1,0)</f>
        <v>0</v>
      </c>
      <c r="P42" s="95"/>
      <c r="Q42" s="79" t="str">
        <f>IF(AND(L14&gt;0,(L44+L62+L80)),D42,"")</f>
        <v/>
      </c>
    </row>
    <row r="43" spans="1:22" s="76" customFormat="1" ht="7.5" customHeight="1" x14ac:dyDescent="0.2">
      <c r="A43" s="87"/>
      <c r="B43" s="88"/>
      <c r="C43" s="88"/>
      <c r="D43" s="70"/>
      <c r="E43" s="70"/>
      <c r="F43" s="70"/>
      <c r="G43" s="70"/>
      <c r="H43" s="70"/>
      <c r="I43" s="70"/>
      <c r="J43" s="70"/>
      <c r="K43" s="88"/>
      <c r="L43" s="70"/>
      <c r="M43" s="70"/>
      <c r="N43" s="70"/>
      <c r="O43" s="89"/>
      <c r="V43" s="79"/>
    </row>
    <row r="44" spans="1:22" ht="13.5" customHeight="1" x14ac:dyDescent="0.2">
      <c r="A44" s="276"/>
      <c r="B44" s="278" t="s">
        <v>287</v>
      </c>
      <c r="C44" s="277"/>
      <c r="D44" s="747" t="s">
        <v>166</v>
      </c>
      <c r="E44" s="748"/>
      <c r="F44" s="748"/>
      <c r="G44" s="748"/>
      <c r="H44" s="748"/>
      <c r="I44" s="279"/>
      <c r="J44" s="280" t="s">
        <v>18</v>
      </c>
      <c r="K44" s="88"/>
      <c r="L44" s="156">
        <f>SUM(L51:L60)</f>
        <v>0</v>
      </c>
      <c r="M44" s="246"/>
      <c r="N44" s="147">
        <f>IF(L44=0,0%,L44/L$8)</f>
        <v>0</v>
      </c>
      <c r="O44" s="495">
        <f>IF(LEN(R44)&gt;3,1,0)</f>
        <v>0</v>
      </c>
      <c r="R44" s="79" t="str">
        <f>IF(AND(R50="NOT",S50="NOT",T50="NOT"),"NOT",D44)</f>
        <v>NOT</v>
      </c>
    </row>
    <row r="45" spans="1:22" s="76" customFormat="1" ht="3" customHeight="1" x14ac:dyDescent="0.2">
      <c r="A45" s="87"/>
      <c r="B45" s="88"/>
      <c r="C45" s="88"/>
      <c r="D45" s="70"/>
      <c r="E45" s="70"/>
      <c r="F45" s="70"/>
      <c r="G45" s="70"/>
      <c r="H45" s="70"/>
      <c r="I45" s="70"/>
      <c r="J45" s="70"/>
      <c r="K45" s="88"/>
      <c r="L45" s="70"/>
      <c r="M45" s="70"/>
      <c r="N45" s="70"/>
      <c r="O45" s="89"/>
      <c r="V45" s="79"/>
    </row>
    <row r="46" spans="1:22" x14ac:dyDescent="0.2">
      <c r="B46" s="742" t="s">
        <v>197</v>
      </c>
      <c r="C46" s="743"/>
      <c r="D46" s="743"/>
      <c r="E46" s="743"/>
      <c r="F46" s="743"/>
      <c r="H46" s="81"/>
      <c r="J46" s="81"/>
      <c r="K46" s="88"/>
      <c r="L46" s="81"/>
      <c r="N46" s="227"/>
      <c r="R46" s="79" t="str">
        <f>IF(AND(($L44&gt;0),ISBLANK(B48)),B46,"NOT")</f>
        <v>NOT</v>
      </c>
    </row>
    <row r="47" spans="1:22" ht="3" customHeight="1" x14ac:dyDescent="0.2">
      <c r="B47" s="104"/>
      <c r="C47" s="88"/>
      <c r="D47" s="81"/>
      <c r="F47" s="81"/>
      <c r="H47" s="81"/>
      <c r="J47" s="81"/>
      <c r="K47" s="88"/>
      <c r="L47" s="81"/>
      <c r="N47" s="227"/>
    </row>
    <row r="48" spans="1:22" ht="50.25" customHeight="1" x14ac:dyDescent="0.2">
      <c r="B48" s="763" t="s">
        <v>728</v>
      </c>
      <c r="C48" s="745"/>
      <c r="D48" s="745"/>
      <c r="E48" s="745"/>
      <c r="F48" s="745"/>
      <c r="G48" s="745"/>
      <c r="H48" s="745"/>
      <c r="I48" s="745"/>
      <c r="J48" s="745"/>
      <c r="K48" s="745"/>
      <c r="L48" s="746"/>
      <c r="M48" s="70" t="s">
        <v>19</v>
      </c>
      <c r="N48" s="227"/>
    </row>
    <row r="49" spans="1:22" ht="3.75" customHeight="1" x14ac:dyDescent="0.2">
      <c r="B49" s="104"/>
      <c r="C49" s="88"/>
      <c r="D49" s="81"/>
      <c r="F49" s="81"/>
      <c r="H49" s="81"/>
      <c r="J49" s="81"/>
      <c r="K49" s="88"/>
      <c r="L49" s="81"/>
      <c r="N49" s="227"/>
    </row>
    <row r="50" spans="1:22" ht="12.75" customHeight="1" x14ac:dyDescent="0.2">
      <c r="B50" s="244" t="s">
        <v>17</v>
      </c>
      <c r="C50" s="88"/>
      <c r="D50" s="244" t="s">
        <v>580</v>
      </c>
      <c r="F50" s="244" t="s">
        <v>205</v>
      </c>
      <c r="H50" s="244" t="s">
        <v>16</v>
      </c>
      <c r="J50" s="244" t="s">
        <v>15</v>
      </c>
      <c r="K50" s="245"/>
      <c r="L50" s="103" t="s">
        <v>141</v>
      </c>
      <c r="N50" s="81"/>
      <c r="R50" s="255" t="str">
        <f>IF(AND(R51="NOT",R52="NOT",R53="NOT",R54="NOT",R55="NOT",R56="NOT",R57="NOT",R58="NOT",R59="NOT",R60="NOT",R46="NOT"),"NOT",D44)</f>
        <v>NOT</v>
      </c>
      <c r="S50" s="255" t="str">
        <f>IF(AND(S51="NOT",S52="NOT",S53="NOT",S54="NOT",S55="NOT",S56="NOT",S57="NOT",S58="NOT",S59="NOT",S60="NOT",R46="NOT"),"NOT",D44)</f>
        <v>NOT</v>
      </c>
      <c r="T50" s="255" t="str">
        <f>IF(AND(T51="NOT",T52="NOT",T53="NOT",T54="NOT",T55="NOT",T56="NOT",T57="NOT",T58="NOT",T59="NOT",T60="NOT",R46="NOT"),"NOT",D44)</f>
        <v>NOT</v>
      </c>
    </row>
    <row r="51" spans="1:22" ht="51" x14ac:dyDescent="0.2">
      <c r="B51" s="544" t="s">
        <v>727</v>
      </c>
      <c r="C51" s="88"/>
      <c r="D51" s="260" t="s">
        <v>724</v>
      </c>
      <c r="E51" s="243"/>
      <c r="F51" s="513" t="s">
        <v>227</v>
      </c>
      <c r="G51" s="243"/>
      <c r="H51" s="262">
        <v>0</v>
      </c>
      <c r="I51" s="243"/>
      <c r="J51" s="262"/>
      <c r="K51" s="88"/>
      <c r="L51" s="143">
        <f t="shared" ref="L51:L60" si="9">TRUNC(H51*J51,2)</f>
        <v>0</v>
      </c>
      <c r="N51" s="81"/>
      <c r="R51" s="79" t="str">
        <f t="shared" ref="R51:R60" si="10">IF(AND(($L51&gt;0),ISBLANK(B51)),B51,"NOT")</f>
        <v>NOT</v>
      </c>
      <c r="S51" s="79" t="str">
        <f t="shared" ref="S51:S60" si="11">IF(AND(($L51&gt;0),ISBLANK(D51)),D51,"NOT")</f>
        <v>NOT</v>
      </c>
      <c r="T51" s="79" t="str">
        <f t="shared" ref="T51:T60" si="12">IF(AND(($L51&gt;0),ISBLANK(F51)),F51,"NOT")</f>
        <v>NOT</v>
      </c>
      <c r="V51" s="79" t="str">
        <f t="shared" si="4"/>
        <v xml:space="preserve">1. </v>
      </c>
    </row>
    <row r="52" spans="1:22" ht="51" x14ac:dyDescent="0.2">
      <c r="B52" s="544" t="s">
        <v>726</v>
      </c>
      <c r="C52" s="88"/>
      <c r="D52" s="260" t="s">
        <v>724</v>
      </c>
      <c r="E52" s="243"/>
      <c r="F52" s="513" t="s">
        <v>227</v>
      </c>
      <c r="G52" s="243"/>
      <c r="H52" s="262">
        <v>0</v>
      </c>
      <c r="I52" s="243"/>
      <c r="J52" s="262"/>
      <c r="K52" s="88"/>
      <c r="L52" s="143">
        <f t="shared" si="9"/>
        <v>0</v>
      </c>
      <c r="N52" s="81"/>
      <c r="R52" s="79" t="str">
        <f t="shared" si="10"/>
        <v>NOT</v>
      </c>
      <c r="S52" s="79" t="str">
        <f t="shared" si="11"/>
        <v>NOT</v>
      </c>
      <c r="T52" s="79" t="str">
        <f t="shared" si="12"/>
        <v>NOT</v>
      </c>
      <c r="V52" s="79" t="str">
        <f t="shared" si="4"/>
        <v xml:space="preserve">1. </v>
      </c>
    </row>
    <row r="53" spans="1:22" x14ac:dyDescent="0.2">
      <c r="B53" s="259"/>
      <c r="C53" s="88"/>
      <c r="D53" s="260"/>
      <c r="E53" s="243"/>
      <c r="F53" s="261"/>
      <c r="G53" s="243"/>
      <c r="H53" s="262"/>
      <c r="I53" s="243"/>
      <c r="J53" s="262"/>
      <c r="K53" s="88"/>
      <c r="L53" s="143">
        <f t="shared" si="9"/>
        <v>0</v>
      </c>
      <c r="N53" s="81"/>
      <c r="R53" s="79" t="str">
        <f t="shared" si="10"/>
        <v>NOT</v>
      </c>
      <c r="S53" s="79" t="str">
        <f t="shared" si="11"/>
        <v>NOT</v>
      </c>
      <c r="T53" s="79" t="str">
        <f t="shared" si="12"/>
        <v>NOT</v>
      </c>
      <c r="V53" s="79" t="str">
        <f t="shared" si="4"/>
        <v/>
      </c>
    </row>
    <row r="54" spans="1:22" x14ac:dyDescent="0.2">
      <c r="B54" s="259"/>
      <c r="C54" s="88"/>
      <c r="D54" s="260"/>
      <c r="E54" s="243"/>
      <c r="F54" s="261"/>
      <c r="G54" s="243"/>
      <c r="H54" s="262"/>
      <c r="I54" s="243"/>
      <c r="J54" s="262"/>
      <c r="K54" s="88"/>
      <c r="L54" s="143">
        <f t="shared" si="9"/>
        <v>0</v>
      </c>
      <c r="N54" s="81"/>
      <c r="R54" s="79" t="str">
        <f t="shared" si="10"/>
        <v>NOT</v>
      </c>
      <c r="S54" s="79" t="str">
        <f t="shared" si="11"/>
        <v>NOT</v>
      </c>
      <c r="T54" s="79" t="str">
        <f t="shared" si="12"/>
        <v>NOT</v>
      </c>
      <c r="V54" s="79" t="str">
        <f t="shared" si="4"/>
        <v/>
      </c>
    </row>
    <row r="55" spans="1:22" x14ac:dyDescent="0.2">
      <c r="B55" s="259"/>
      <c r="C55" s="88"/>
      <c r="D55" s="260"/>
      <c r="E55" s="243"/>
      <c r="F55" s="261"/>
      <c r="G55" s="243"/>
      <c r="H55" s="262"/>
      <c r="I55" s="243"/>
      <c r="J55" s="262"/>
      <c r="K55" s="88"/>
      <c r="L55" s="143">
        <f t="shared" si="9"/>
        <v>0</v>
      </c>
      <c r="N55" s="81"/>
      <c r="R55" s="79" t="str">
        <f t="shared" si="10"/>
        <v>NOT</v>
      </c>
      <c r="S55" s="79" t="str">
        <f t="shared" si="11"/>
        <v>NOT</v>
      </c>
      <c r="T55" s="79" t="str">
        <f t="shared" si="12"/>
        <v>NOT</v>
      </c>
      <c r="V55" s="79" t="str">
        <f t="shared" si="4"/>
        <v/>
      </c>
    </row>
    <row r="56" spans="1:22" x14ac:dyDescent="0.2">
      <c r="B56" s="259"/>
      <c r="C56" s="88"/>
      <c r="D56" s="260"/>
      <c r="E56" s="243"/>
      <c r="F56" s="261"/>
      <c r="G56" s="243"/>
      <c r="H56" s="262"/>
      <c r="I56" s="243"/>
      <c r="J56" s="262"/>
      <c r="K56" s="88"/>
      <c r="L56" s="143">
        <f t="shared" si="9"/>
        <v>0</v>
      </c>
      <c r="N56" s="81"/>
      <c r="R56" s="79" t="str">
        <f t="shared" si="10"/>
        <v>NOT</v>
      </c>
      <c r="S56" s="79" t="str">
        <f t="shared" si="11"/>
        <v>NOT</v>
      </c>
      <c r="T56" s="79" t="str">
        <f t="shared" si="12"/>
        <v>NOT</v>
      </c>
      <c r="V56" s="79" t="str">
        <f t="shared" si="4"/>
        <v/>
      </c>
    </row>
    <row r="57" spans="1:22" x14ac:dyDescent="0.2">
      <c r="B57" s="259"/>
      <c r="C57" s="88"/>
      <c r="D57" s="260"/>
      <c r="E57" s="243"/>
      <c r="F57" s="261"/>
      <c r="G57" s="243"/>
      <c r="H57" s="262"/>
      <c r="I57" s="243"/>
      <c r="J57" s="262"/>
      <c r="K57" s="88"/>
      <c r="L57" s="143">
        <f t="shared" si="9"/>
        <v>0</v>
      </c>
      <c r="N57" s="81"/>
      <c r="R57" s="79" t="str">
        <f t="shared" si="10"/>
        <v>NOT</v>
      </c>
      <c r="S57" s="79" t="str">
        <f t="shared" si="11"/>
        <v>NOT</v>
      </c>
      <c r="T57" s="79" t="str">
        <f t="shared" si="12"/>
        <v>NOT</v>
      </c>
      <c r="V57" s="79" t="str">
        <f t="shared" si="4"/>
        <v/>
      </c>
    </row>
    <row r="58" spans="1:22" x14ac:dyDescent="0.2">
      <c r="B58" s="259"/>
      <c r="C58" s="88"/>
      <c r="D58" s="260"/>
      <c r="E58" s="243"/>
      <c r="F58" s="261"/>
      <c r="G58" s="243"/>
      <c r="H58" s="262"/>
      <c r="I58" s="243"/>
      <c r="J58" s="262"/>
      <c r="K58" s="88"/>
      <c r="L58" s="143">
        <f t="shared" si="9"/>
        <v>0</v>
      </c>
      <c r="N58" s="81"/>
      <c r="R58" s="79" t="str">
        <f t="shared" si="10"/>
        <v>NOT</v>
      </c>
      <c r="S58" s="79" t="str">
        <f t="shared" si="11"/>
        <v>NOT</v>
      </c>
      <c r="T58" s="79" t="str">
        <f t="shared" si="12"/>
        <v>NOT</v>
      </c>
      <c r="V58" s="79" t="str">
        <f t="shared" si="4"/>
        <v/>
      </c>
    </row>
    <row r="59" spans="1:22" x14ac:dyDescent="0.2">
      <c r="B59" s="259"/>
      <c r="C59" s="88"/>
      <c r="D59" s="260"/>
      <c r="E59" s="243"/>
      <c r="F59" s="261"/>
      <c r="G59" s="243"/>
      <c r="H59" s="262"/>
      <c r="I59" s="243"/>
      <c r="J59" s="262"/>
      <c r="K59" s="88"/>
      <c r="L59" s="143">
        <f t="shared" si="9"/>
        <v>0</v>
      </c>
      <c r="N59" s="81"/>
      <c r="R59" s="79" t="str">
        <f t="shared" si="10"/>
        <v>NOT</v>
      </c>
      <c r="S59" s="79" t="str">
        <f t="shared" si="11"/>
        <v>NOT</v>
      </c>
      <c r="T59" s="79" t="str">
        <f t="shared" si="12"/>
        <v>NOT</v>
      </c>
      <c r="V59" s="79" t="str">
        <f t="shared" si="4"/>
        <v/>
      </c>
    </row>
    <row r="60" spans="1:22" x14ac:dyDescent="0.2">
      <c r="B60" s="259"/>
      <c r="C60" s="88"/>
      <c r="D60" s="260"/>
      <c r="E60" s="243"/>
      <c r="F60" s="261"/>
      <c r="G60" s="243"/>
      <c r="H60" s="262"/>
      <c r="I60" s="243"/>
      <c r="J60" s="262"/>
      <c r="K60" s="88"/>
      <c r="L60" s="143">
        <f t="shared" si="9"/>
        <v>0</v>
      </c>
      <c r="N60" s="81"/>
      <c r="R60" s="79" t="str">
        <f t="shared" si="10"/>
        <v>NOT</v>
      </c>
      <c r="S60" s="79" t="str">
        <f t="shared" si="11"/>
        <v>NOT</v>
      </c>
      <c r="T60" s="79" t="str">
        <f t="shared" si="12"/>
        <v>NOT</v>
      </c>
      <c r="V60" s="79" t="str">
        <f t="shared" si="4"/>
        <v/>
      </c>
    </row>
    <row r="61" spans="1:22" x14ac:dyDescent="0.2">
      <c r="B61" s="104"/>
      <c r="C61" s="88"/>
      <c r="D61" s="81"/>
      <c r="F61" s="81"/>
      <c r="H61" s="81"/>
      <c r="J61" s="81"/>
      <c r="K61" s="88"/>
      <c r="L61" s="81"/>
      <c r="N61" s="227"/>
    </row>
    <row r="62" spans="1:22" ht="13.5" customHeight="1" x14ac:dyDescent="0.2">
      <c r="A62" s="276"/>
      <c r="B62" s="278" t="s">
        <v>288</v>
      </c>
      <c r="C62" s="277"/>
      <c r="D62" s="747" t="s">
        <v>166</v>
      </c>
      <c r="E62" s="748"/>
      <c r="F62" s="748"/>
      <c r="G62" s="748"/>
      <c r="H62" s="748"/>
      <c r="I62" s="279"/>
      <c r="J62" s="280" t="s">
        <v>18</v>
      </c>
      <c r="K62" s="88"/>
      <c r="L62" s="156">
        <f>SUM(L69:L78)</f>
        <v>0</v>
      </c>
      <c r="M62" s="246"/>
      <c r="N62" s="147">
        <f>IF(L62=0,0%,L62/L$8)</f>
        <v>0</v>
      </c>
      <c r="O62" s="495">
        <f>IF(LEN(R62)&gt;3,1,0)</f>
        <v>0</v>
      </c>
      <c r="R62" s="79" t="str">
        <f>IF(AND(R68="NOT",S68="NOT",T68="NOT"),"NOT",D62)</f>
        <v>NOT</v>
      </c>
    </row>
    <row r="63" spans="1:22" s="76" customFormat="1" ht="3" customHeight="1" x14ac:dyDescent="0.2">
      <c r="A63" s="87"/>
      <c r="B63" s="88"/>
      <c r="C63" s="88"/>
      <c r="D63" s="70"/>
      <c r="E63" s="70"/>
      <c r="F63" s="70"/>
      <c r="G63" s="70"/>
      <c r="H63" s="70"/>
      <c r="I63" s="70"/>
      <c r="J63" s="70"/>
      <c r="K63" s="88"/>
      <c r="L63" s="70"/>
      <c r="M63" s="70"/>
      <c r="N63" s="70"/>
      <c r="O63" s="89"/>
      <c r="V63" s="79"/>
    </row>
    <row r="64" spans="1:22" x14ac:dyDescent="0.2">
      <c r="B64" s="742" t="s">
        <v>197</v>
      </c>
      <c r="C64" s="743"/>
      <c r="D64" s="743"/>
      <c r="E64" s="743"/>
      <c r="F64" s="743"/>
      <c r="H64" s="81"/>
      <c r="J64" s="81"/>
      <c r="K64" s="88"/>
      <c r="L64" s="81"/>
      <c r="N64" s="227"/>
      <c r="R64" s="79" t="str">
        <f>IF(AND(($L62&gt;0),ISBLANK(B66)),B64,"NOT")</f>
        <v>NOT</v>
      </c>
    </row>
    <row r="65" spans="1:22" ht="3" customHeight="1" x14ac:dyDescent="0.2">
      <c r="B65" s="104"/>
      <c r="C65" s="88"/>
      <c r="D65" s="81"/>
      <c r="F65" s="81"/>
      <c r="H65" s="81"/>
      <c r="J65" s="81"/>
      <c r="K65" s="88"/>
      <c r="L65" s="81"/>
      <c r="N65" s="227"/>
    </row>
    <row r="66" spans="1:22" ht="50.25" customHeight="1" x14ac:dyDescent="0.2">
      <c r="B66" s="744"/>
      <c r="C66" s="745"/>
      <c r="D66" s="745"/>
      <c r="E66" s="745"/>
      <c r="F66" s="745"/>
      <c r="G66" s="745"/>
      <c r="H66" s="745"/>
      <c r="I66" s="745"/>
      <c r="J66" s="745"/>
      <c r="K66" s="745"/>
      <c r="L66" s="746"/>
      <c r="M66" s="70" t="s">
        <v>19</v>
      </c>
      <c r="N66" s="227"/>
    </row>
    <row r="67" spans="1:22" ht="3.75" customHeight="1" x14ac:dyDescent="0.2">
      <c r="B67" s="104"/>
      <c r="C67" s="88"/>
      <c r="D67" s="81"/>
      <c r="F67" s="81"/>
      <c r="H67" s="81"/>
      <c r="J67" s="81"/>
      <c r="K67" s="88"/>
      <c r="L67" s="81"/>
      <c r="N67" s="227"/>
    </row>
    <row r="68" spans="1:22" ht="12.75" customHeight="1" x14ac:dyDescent="0.2">
      <c r="B68" s="244" t="s">
        <v>17</v>
      </c>
      <c r="C68" s="88"/>
      <c r="D68" s="244" t="s">
        <v>580</v>
      </c>
      <c r="F68" s="244" t="s">
        <v>205</v>
      </c>
      <c r="H68" s="244" t="s">
        <v>16</v>
      </c>
      <c r="J68" s="244" t="s">
        <v>15</v>
      </c>
      <c r="K68" s="245"/>
      <c r="L68" s="103" t="s">
        <v>141</v>
      </c>
      <c r="N68" s="81"/>
      <c r="R68" s="255" t="str">
        <f>IF(AND(R69="NOT",R70="NOT",R71="NOT",R72="NOT",R73="NOT",R74="NOT",R75="NOT",R76="NOT",R77="NOT",R78="NOT",R64="NOT"),"NOT",D62)</f>
        <v>NOT</v>
      </c>
      <c r="S68" s="255" t="str">
        <f>IF(AND(S69="NOT",S70="NOT",S71="NOT",S72="NOT",S73="NOT",S74="NOT",S75="NOT",S76="NOT",S77="NOT",S78="NOT",R64="NOT"),"NOT",D62)</f>
        <v>NOT</v>
      </c>
      <c r="T68" s="255" t="str">
        <f>IF(AND(T69="NOT",T70="NOT",T71="NOT",T72="NOT",T73="NOT",T74="NOT",T75="NOT",T76="NOT",T77="NOT",T78="NOT",R64="NOT"),"NOT",D62)</f>
        <v>NOT</v>
      </c>
    </row>
    <row r="69" spans="1:22" x14ac:dyDescent="0.2">
      <c r="B69" s="259"/>
      <c r="C69" s="88"/>
      <c r="D69" s="260"/>
      <c r="E69" s="243"/>
      <c r="F69" s="261"/>
      <c r="G69" s="243"/>
      <c r="H69" s="262"/>
      <c r="I69" s="243"/>
      <c r="J69" s="262"/>
      <c r="K69" s="88"/>
      <c r="L69" s="143">
        <f t="shared" ref="L69:L78" si="13">TRUNC(H69*J69,2)</f>
        <v>0</v>
      </c>
      <c r="N69" s="81"/>
      <c r="R69" s="79" t="str">
        <f t="shared" ref="R69:R78" si="14">IF(AND(($L69&gt;0),ISBLANK(B69)),B69,"NOT")</f>
        <v>NOT</v>
      </c>
      <c r="S69" s="79" t="str">
        <f t="shared" ref="S69:S78" si="15">IF(AND(($L69&gt;0),ISBLANK(D69)),D69,"NOT")</f>
        <v>NOT</v>
      </c>
      <c r="T69" s="79" t="str">
        <f t="shared" ref="T69:T78" si="16">IF(AND(($L69&gt;0),ISBLANK(F69)),F69,"NOT")</f>
        <v>NOT</v>
      </c>
      <c r="V69" s="79" t="str">
        <f t="shared" si="4"/>
        <v/>
      </c>
    </row>
    <row r="70" spans="1:22" x14ac:dyDescent="0.2">
      <c r="B70" s="259"/>
      <c r="C70" s="88"/>
      <c r="D70" s="260"/>
      <c r="E70" s="243"/>
      <c r="F70" s="261"/>
      <c r="G70" s="243"/>
      <c r="H70" s="262"/>
      <c r="I70" s="243"/>
      <c r="J70" s="262"/>
      <c r="K70" s="88"/>
      <c r="L70" s="143">
        <f t="shared" si="13"/>
        <v>0</v>
      </c>
      <c r="N70" s="81"/>
      <c r="R70" s="79" t="str">
        <f t="shared" si="14"/>
        <v>NOT</v>
      </c>
      <c r="S70" s="79" t="str">
        <f t="shared" si="15"/>
        <v>NOT</v>
      </c>
      <c r="T70" s="79" t="str">
        <f t="shared" si="16"/>
        <v>NOT</v>
      </c>
      <c r="V70" s="79" t="str">
        <f t="shared" si="4"/>
        <v/>
      </c>
    </row>
    <row r="71" spans="1:22" x14ac:dyDescent="0.2">
      <c r="B71" s="259"/>
      <c r="C71" s="88"/>
      <c r="D71" s="260"/>
      <c r="E71" s="243"/>
      <c r="F71" s="261"/>
      <c r="G71" s="243"/>
      <c r="H71" s="262"/>
      <c r="I71" s="243"/>
      <c r="J71" s="262"/>
      <c r="K71" s="88"/>
      <c r="L71" s="143">
        <f t="shared" si="13"/>
        <v>0</v>
      </c>
      <c r="N71" s="81"/>
      <c r="R71" s="79" t="str">
        <f t="shared" si="14"/>
        <v>NOT</v>
      </c>
      <c r="S71" s="79" t="str">
        <f t="shared" si="15"/>
        <v>NOT</v>
      </c>
      <c r="T71" s="79" t="str">
        <f t="shared" si="16"/>
        <v>NOT</v>
      </c>
      <c r="V71" s="79" t="str">
        <f t="shared" si="4"/>
        <v/>
      </c>
    </row>
    <row r="72" spans="1:22" x14ac:dyDescent="0.2">
      <c r="B72" s="259"/>
      <c r="C72" s="88"/>
      <c r="D72" s="260"/>
      <c r="E72" s="243"/>
      <c r="F72" s="261"/>
      <c r="G72" s="243"/>
      <c r="H72" s="262"/>
      <c r="I72" s="243"/>
      <c r="J72" s="262"/>
      <c r="K72" s="88"/>
      <c r="L72" s="143">
        <f t="shared" si="13"/>
        <v>0</v>
      </c>
      <c r="N72" s="81"/>
      <c r="R72" s="79" t="str">
        <f t="shared" si="14"/>
        <v>NOT</v>
      </c>
      <c r="S72" s="79" t="str">
        <f t="shared" si="15"/>
        <v>NOT</v>
      </c>
      <c r="T72" s="79" t="str">
        <f t="shared" si="16"/>
        <v>NOT</v>
      </c>
      <c r="V72" s="79" t="str">
        <f t="shared" si="4"/>
        <v/>
      </c>
    </row>
    <row r="73" spans="1:22" x14ac:dyDescent="0.2">
      <c r="B73" s="259"/>
      <c r="C73" s="88"/>
      <c r="D73" s="260"/>
      <c r="E73" s="243"/>
      <c r="F73" s="261"/>
      <c r="G73" s="243"/>
      <c r="H73" s="262"/>
      <c r="I73" s="243"/>
      <c r="J73" s="262"/>
      <c r="K73" s="88"/>
      <c r="L73" s="143">
        <f t="shared" si="13"/>
        <v>0</v>
      </c>
      <c r="N73" s="81"/>
      <c r="R73" s="79" t="str">
        <f t="shared" si="14"/>
        <v>NOT</v>
      </c>
      <c r="S73" s="79" t="str">
        <f t="shared" si="15"/>
        <v>NOT</v>
      </c>
      <c r="T73" s="79" t="str">
        <f t="shared" si="16"/>
        <v>NOT</v>
      </c>
      <c r="V73" s="79" t="str">
        <f t="shared" si="4"/>
        <v/>
      </c>
    </row>
    <row r="74" spans="1:22" x14ac:dyDescent="0.2">
      <c r="B74" s="259"/>
      <c r="C74" s="88"/>
      <c r="D74" s="260"/>
      <c r="E74" s="243"/>
      <c r="F74" s="261"/>
      <c r="G74" s="243"/>
      <c r="H74" s="262"/>
      <c r="I74" s="243"/>
      <c r="J74" s="262"/>
      <c r="K74" s="88"/>
      <c r="L74" s="143">
        <f t="shared" si="13"/>
        <v>0</v>
      </c>
      <c r="N74" s="81"/>
      <c r="R74" s="79" t="str">
        <f t="shared" si="14"/>
        <v>NOT</v>
      </c>
      <c r="S74" s="79" t="str">
        <f t="shared" si="15"/>
        <v>NOT</v>
      </c>
      <c r="T74" s="79" t="str">
        <f t="shared" si="16"/>
        <v>NOT</v>
      </c>
      <c r="V74" s="79" t="str">
        <f t="shared" si="4"/>
        <v/>
      </c>
    </row>
    <row r="75" spans="1:22" x14ac:dyDescent="0.2">
      <c r="B75" s="259"/>
      <c r="C75" s="88"/>
      <c r="D75" s="260"/>
      <c r="E75" s="243"/>
      <c r="F75" s="261"/>
      <c r="G75" s="243"/>
      <c r="H75" s="262"/>
      <c r="I75" s="243"/>
      <c r="J75" s="262"/>
      <c r="K75" s="88"/>
      <c r="L75" s="143">
        <f t="shared" si="13"/>
        <v>0</v>
      </c>
      <c r="N75" s="81"/>
      <c r="R75" s="79" t="str">
        <f t="shared" si="14"/>
        <v>NOT</v>
      </c>
      <c r="S75" s="79" t="str">
        <f t="shared" si="15"/>
        <v>NOT</v>
      </c>
      <c r="T75" s="79" t="str">
        <f t="shared" si="16"/>
        <v>NOT</v>
      </c>
      <c r="V75" s="79" t="str">
        <f t="shared" si="4"/>
        <v/>
      </c>
    </row>
    <row r="76" spans="1:22" x14ac:dyDescent="0.2">
      <c r="B76" s="259"/>
      <c r="C76" s="88"/>
      <c r="D76" s="260"/>
      <c r="E76" s="243"/>
      <c r="F76" s="261"/>
      <c r="G76" s="243"/>
      <c r="H76" s="262"/>
      <c r="I76" s="243"/>
      <c r="J76" s="262"/>
      <c r="K76" s="88"/>
      <c r="L76" s="143">
        <f t="shared" si="13"/>
        <v>0</v>
      </c>
      <c r="N76" s="81"/>
      <c r="R76" s="79" t="str">
        <f t="shared" si="14"/>
        <v>NOT</v>
      </c>
      <c r="S76" s="79" t="str">
        <f t="shared" si="15"/>
        <v>NOT</v>
      </c>
      <c r="T76" s="79" t="str">
        <f t="shared" si="16"/>
        <v>NOT</v>
      </c>
      <c r="V76" s="79" t="str">
        <f t="shared" si="4"/>
        <v/>
      </c>
    </row>
    <row r="77" spans="1:22" x14ac:dyDescent="0.2">
      <c r="B77" s="259"/>
      <c r="C77" s="88"/>
      <c r="D77" s="260"/>
      <c r="E77" s="243"/>
      <c r="F77" s="261"/>
      <c r="G77" s="243"/>
      <c r="H77" s="262"/>
      <c r="I77" s="243"/>
      <c r="J77" s="262"/>
      <c r="K77" s="88"/>
      <c r="L77" s="143">
        <f t="shared" si="13"/>
        <v>0</v>
      </c>
      <c r="N77" s="81"/>
      <c r="R77" s="79" t="str">
        <f t="shared" si="14"/>
        <v>NOT</v>
      </c>
      <c r="S77" s="79" t="str">
        <f t="shared" si="15"/>
        <v>NOT</v>
      </c>
      <c r="T77" s="79" t="str">
        <f t="shared" si="16"/>
        <v>NOT</v>
      </c>
      <c r="V77" s="79" t="str">
        <f t="shared" si="4"/>
        <v/>
      </c>
    </row>
    <row r="78" spans="1:22" x14ac:dyDescent="0.2">
      <c r="B78" s="259"/>
      <c r="C78" s="88"/>
      <c r="D78" s="260"/>
      <c r="E78" s="243"/>
      <c r="F78" s="261"/>
      <c r="G78" s="243"/>
      <c r="H78" s="262"/>
      <c r="I78" s="243"/>
      <c r="J78" s="262"/>
      <c r="K78" s="88"/>
      <c r="L78" s="143">
        <f t="shared" si="13"/>
        <v>0</v>
      </c>
      <c r="N78" s="81"/>
      <c r="R78" s="79" t="str">
        <f t="shared" si="14"/>
        <v>NOT</v>
      </c>
      <c r="S78" s="79" t="str">
        <f t="shared" si="15"/>
        <v>NOT</v>
      </c>
      <c r="T78" s="79" t="str">
        <f t="shared" si="16"/>
        <v>NOT</v>
      </c>
      <c r="V78" s="79" t="str">
        <f t="shared" si="4"/>
        <v/>
      </c>
    </row>
    <row r="79" spans="1:22" s="76" customFormat="1" ht="12.75" customHeight="1" x14ac:dyDescent="0.2">
      <c r="A79" s="87"/>
      <c r="B79" s="88"/>
      <c r="C79" s="88"/>
      <c r="D79" s="70"/>
      <c r="E79" s="70"/>
      <c r="F79" s="70"/>
      <c r="G79" s="70"/>
      <c r="H79" s="70"/>
      <c r="I79" s="70"/>
      <c r="J79" s="70"/>
      <c r="K79" s="88"/>
      <c r="L79" s="70"/>
      <c r="M79" s="70"/>
      <c r="N79" s="70"/>
      <c r="O79" s="89"/>
      <c r="V79" s="79"/>
    </row>
    <row r="80" spans="1:22" ht="13.5" customHeight="1" x14ac:dyDescent="0.2">
      <c r="A80" s="276"/>
      <c r="B80" s="278" t="s">
        <v>289</v>
      </c>
      <c r="C80" s="277"/>
      <c r="D80" s="747" t="s">
        <v>166</v>
      </c>
      <c r="E80" s="748"/>
      <c r="F80" s="748"/>
      <c r="G80" s="748"/>
      <c r="H80" s="748"/>
      <c r="I80" s="279"/>
      <c r="J80" s="280" t="s">
        <v>18</v>
      </c>
      <c r="K80" s="88"/>
      <c r="L80" s="156">
        <f>SUM(L87:L96)</f>
        <v>0</v>
      </c>
      <c r="M80" s="246"/>
      <c r="N80" s="147">
        <f>IF(L80=0,0%,L80/L$8)</f>
        <v>0</v>
      </c>
      <c r="O80" s="495">
        <f>IF(LEN(R80)&gt;3,1,0)</f>
        <v>0</v>
      </c>
      <c r="R80" s="79" t="str">
        <f>IF(AND(R86="NOT",S86="NOT",T86="NOT"),"NOT",D80)</f>
        <v>NOT</v>
      </c>
    </row>
    <row r="81" spans="1:22" s="76" customFormat="1" ht="3" customHeight="1" x14ac:dyDescent="0.2">
      <c r="A81" s="87"/>
      <c r="B81" s="88"/>
      <c r="C81" s="88"/>
      <c r="D81" s="70"/>
      <c r="E81" s="70"/>
      <c r="F81" s="70"/>
      <c r="G81" s="70"/>
      <c r="H81" s="70"/>
      <c r="I81" s="70"/>
      <c r="J81" s="70"/>
      <c r="K81" s="88"/>
      <c r="L81" s="70"/>
      <c r="M81" s="70"/>
      <c r="N81" s="70"/>
      <c r="O81" s="89"/>
      <c r="V81" s="79"/>
    </row>
    <row r="82" spans="1:22" x14ac:dyDescent="0.2">
      <c r="B82" s="742" t="s">
        <v>197</v>
      </c>
      <c r="C82" s="743"/>
      <c r="D82" s="743"/>
      <c r="E82" s="743"/>
      <c r="F82" s="743"/>
      <c r="H82" s="81"/>
      <c r="J82" s="81"/>
      <c r="K82" s="88"/>
      <c r="L82" s="81"/>
      <c r="N82" s="227"/>
      <c r="R82" s="79" t="str">
        <f>IF(AND(($L80&gt;0),ISBLANK(B84)),B82,"NOT")</f>
        <v>NOT</v>
      </c>
    </row>
    <row r="83" spans="1:22" ht="3" customHeight="1" x14ac:dyDescent="0.2">
      <c r="B83" s="104"/>
      <c r="C83" s="88"/>
      <c r="D83" s="81"/>
      <c r="F83" s="81"/>
      <c r="H83" s="81"/>
      <c r="J83" s="81"/>
      <c r="K83" s="88"/>
      <c r="L83" s="81"/>
      <c r="N83" s="227"/>
    </row>
    <row r="84" spans="1:22" ht="50.25" customHeight="1" x14ac:dyDescent="0.2">
      <c r="B84" s="744"/>
      <c r="C84" s="745"/>
      <c r="D84" s="745"/>
      <c r="E84" s="745"/>
      <c r="F84" s="745"/>
      <c r="G84" s="745"/>
      <c r="H84" s="745"/>
      <c r="I84" s="745"/>
      <c r="J84" s="745"/>
      <c r="K84" s="745"/>
      <c r="L84" s="746"/>
      <c r="M84" s="70" t="s">
        <v>19</v>
      </c>
      <c r="N84" s="227"/>
    </row>
    <row r="85" spans="1:22" ht="3.75" customHeight="1" x14ac:dyDescent="0.2">
      <c r="B85" s="104"/>
      <c r="C85" s="88"/>
      <c r="D85" s="81"/>
      <c r="F85" s="81"/>
      <c r="H85" s="81"/>
      <c r="J85" s="81"/>
      <c r="K85" s="88"/>
      <c r="L85" s="81"/>
      <c r="N85" s="227"/>
    </row>
    <row r="86" spans="1:22" ht="12.75" customHeight="1" x14ac:dyDescent="0.2">
      <c r="B86" s="244" t="s">
        <v>17</v>
      </c>
      <c r="C86" s="88"/>
      <c r="D86" s="244" t="s">
        <v>580</v>
      </c>
      <c r="F86" s="244" t="s">
        <v>205</v>
      </c>
      <c r="H86" s="244" t="s">
        <v>16</v>
      </c>
      <c r="J86" s="244" t="s">
        <v>15</v>
      </c>
      <c r="K86" s="245"/>
      <c r="L86" s="103" t="s">
        <v>141</v>
      </c>
      <c r="N86" s="81"/>
      <c r="R86" s="255" t="str">
        <f>IF(AND(R87="NOT",R88="NOT",R89="NOT",R90="NOT",R91="NOT",R92="NOT",R93="NOT",R94="NOT",R95="NOT",R96="NOT",R82="NOT"),"NOT",D80)</f>
        <v>NOT</v>
      </c>
      <c r="S86" s="255" t="str">
        <f>IF(AND(S87="NOT",S88="NOT",S89="NOT",S90="NOT",S91="NOT",S92="NOT",S93="NOT",S94="NOT",S95="NOT",S96="NOT",R82="NOT"),"NOT",D80)</f>
        <v>NOT</v>
      </c>
      <c r="T86" s="255" t="str">
        <f>IF(AND(T87="NOT",T88="NOT",T89="NOT",T90="NOT",T91="NOT",T92="NOT",T93="NOT",T94="NOT",T95="NOT",T96="NOT",R82="NOT"),"NOT",D80)</f>
        <v>NOT</v>
      </c>
    </row>
    <row r="87" spans="1:22" x14ac:dyDescent="0.2">
      <c r="B87" s="259"/>
      <c r="C87" s="88"/>
      <c r="D87" s="260"/>
      <c r="E87" s="243"/>
      <c r="F87" s="261"/>
      <c r="G87" s="243"/>
      <c r="H87" s="262"/>
      <c r="I87" s="243"/>
      <c r="J87" s="262"/>
      <c r="K87" s="88"/>
      <c r="L87" s="143">
        <f t="shared" ref="L87:L96" si="17">TRUNC(H87*J87,2)</f>
        <v>0</v>
      </c>
      <c r="N87" s="81"/>
      <c r="R87" s="79" t="str">
        <f t="shared" ref="R87:R96" si="18">IF(AND(($L87&gt;0),ISBLANK(B87)),B87,"NOT")</f>
        <v>NOT</v>
      </c>
      <c r="S87" s="79" t="str">
        <f t="shared" ref="S87:S96" si="19">IF(AND(($L87&gt;0),ISBLANK(D87)),D87,"NOT")</f>
        <v>NOT</v>
      </c>
      <c r="T87" s="79" t="str">
        <f t="shared" ref="T87:T96" si="20">IF(AND(($L87&gt;0),ISBLANK(F87)),F87,"NOT")</f>
        <v>NOT</v>
      </c>
      <c r="V87" s="79" t="str">
        <f t="shared" ref="V87:V96" si="21">LEFT(D87,3)</f>
        <v/>
      </c>
    </row>
    <row r="88" spans="1:22" x14ac:dyDescent="0.2">
      <c r="B88" s="259"/>
      <c r="C88" s="88"/>
      <c r="D88" s="260"/>
      <c r="E88" s="243"/>
      <c r="F88" s="261"/>
      <c r="G88" s="243"/>
      <c r="H88" s="262"/>
      <c r="I88" s="243"/>
      <c r="J88" s="262"/>
      <c r="K88" s="88"/>
      <c r="L88" s="143">
        <f t="shared" si="17"/>
        <v>0</v>
      </c>
      <c r="N88" s="81"/>
      <c r="R88" s="79" t="str">
        <f t="shared" si="18"/>
        <v>NOT</v>
      </c>
      <c r="S88" s="79" t="str">
        <f t="shared" si="19"/>
        <v>NOT</v>
      </c>
      <c r="T88" s="79" t="str">
        <f t="shared" si="20"/>
        <v>NOT</v>
      </c>
      <c r="V88" s="79" t="str">
        <f t="shared" si="21"/>
        <v/>
      </c>
    </row>
    <row r="89" spans="1:22" x14ac:dyDescent="0.2">
      <c r="B89" s="259"/>
      <c r="C89" s="88"/>
      <c r="D89" s="260"/>
      <c r="E89" s="243"/>
      <c r="F89" s="261"/>
      <c r="G89" s="243"/>
      <c r="H89" s="262"/>
      <c r="I89" s="243"/>
      <c r="J89" s="262"/>
      <c r="K89" s="88"/>
      <c r="L89" s="143">
        <f t="shared" si="17"/>
        <v>0</v>
      </c>
      <c r="N89" s="81"/>
      <c r="R89" s="79" t="str">
        <f t="shared" si="18"/>
        <v>NOT</v>
      </c>
      <c r="S89" s="79" t="str">
        <f t="shared" si="19"/>
        <v>NOT</v>
      </c>
      <c r="T89" s="79" t="str">
        <f t="shared" si="20"/>
        <v>NOT</v>
      </c>
      <c r="V89" s="79" t="str">
        <f t="shared" si="21"/>
        <v/>
      </c>
    </row>
    <row r="90" spans="1:22" x14ac:dyDescent="0.2">
      <c r="B90" s="259"/>
      <c r="C90" s="88"/>
      <c r="D90" s="260"/>
      <c r="E90" s="243"/>
      <c r="F90" s="261"/>
      <c r="G90" s="243"/>
      <c r="H90" s="262"/>
      <c r="I90" s="243"/>
      <c r="J90" s="262"/>
      <c r="K90" s="88"/>
      <c r="L90" s="143">
        <f t="shared" si="17"/>
        <v>0</v>
      </c>
      <c r="N90" s="81"/>
      <c r="R90" s="79" t="str">
        <f t="shared" si="18"/>
        <v>NOT</v>
      </c>
      <c r="S90" s="79" t="str">
        <f t="shared" si="19"/>
        <v>NOT</v>
      </c>
      <c r="T90" s="79" t="str">
        <f t="shared" si="20"/>
        <v>NOT</v>
      </c>
      <c r="V90" s="79" t="str">
        <f t="shared" si="21"/>
        <v/>
      </c>
    </row>
    <row r="91" spans="1:22" x14ac:dyDescent="0.2">
      <c r="B91" s="259"/>
      <c r="C91" s="88"/>
      <c r="D91" s="260"/>
      <c r="E91" s="243"/>
      <c r="F91" s="261"/>
      <c r="G91" s="243"/>
      <c r="H91" s="262"/>
      <c r="I91" s="243"/>
      <c r="J91" s="262"/>
      <c r="K91" s="88"/>
      <c r="L91" s="143">
        <f t="shared" si="17"/>
        <v>0</v>
      </c>
      <c r="N91" s="81"/>
      <c r="R91" s="79" t="str">
        <f t="shared" si="18"/>
        <v>NOT</v>
      </c>
      <c r="S91" s="79" t="str">
        <f t="shared" si="19"/>
        <v>NOT</v>
      </c>
      <c r="T91" s="79" t="str">
        <f t="shared" si="20"/>
        <v>NOT</v>
      </c>
      <c r="V91" s="79" t="str">
        <f t="shared" si="21"/>
        <v/>
      </c>
    </row>
    <row r="92" spans="1:22" x14ac:dyDescent="0.2">
      <c r="B92" s="259"/>
      <c r="C92" s="88"/>
      <c r="D92" s="260"/>
      <c r="E92" s="243"/>
      <c r="F92" s="261"/>
      <c r="G92" s="243"/>
      <c r="H92" s="262"/>
      <c r="I92" s="243"/>
      <c r="J92" s="262"/>
      <c r="K92" s="88"/>
      <c r="L92" s="143">
        <f t="shared" si="17"/>
        <v>0</v>
      </c>
      <c r="N92" s="81"/>
      <c r="R92" s="79" t="str">
        <f t="shared" si="18"/>
        <v>NOT</v>
      </c>
      <c r="S92" s="79" t="str">
        <f t="shared" si="19"/>
        <v>NOT</v>
      </c>
      <c r="T92" s="79" t="str">
        <f t="shared" si="20"/>
        <v>NOT</v>
      </c>
      <c r="V92" s="79" t="str">
        <f t="shared" si="21"/>
        <v/>
      </c>
    </row>
    <row r="93" spans="1:22" x14ac:dyDescent="0.2">
      <c r="B93" s="259"/>
      <c r="C93" s="88"/>
      <c r="D93" s="260"/>
      <c r="E93" s="243"/>
      <c r="F93" s="261"/>
      <c r="G93" s="243"/>
      <c r="H93" s="262"/>
      <c r="I93" s="243"/>
      <c r="J93" s="262"/>
      <c r="K93" s="88"/>
      <c r="L93" s="143">
        <f t="shared" si="17"/>
        <v>0</v>
      </c>
      <c r="N93" s="81"/>
      <c r="R93" s="79" t="str">
        <f t="shared" si="18"/>
        <v>NOT</v>
      </c>
      <c r="S93" s="79" t="str">
        <f t="shared" si="19"/>
        <v>NOT</v>
      </c>
      <c r="T93" s="79" t="str">
        <f t="shared" si="20"/>
        <v>NOT</v>
      </c>
      <c r="V93" s="79" t="str">
        <f t="shared" si="21"/>
        <v/>
      </c>
    </row>
    <row r="94" spans="1:22" x14ac:dyDescent="0.2">
      <c r="B94" s="259"/>
      <c r="C94" s="88"/>
      <c r="D94" s="260"/>
      <c r="E94" s="243"/>
      <c r="F94" s="261"/>
      <c r="G94" s="243"/>
      <c r="H94" s="262"/>
      <c r="I94" s="243"/>
      <c r="J94" s="262"/>
      <c r="K94" s="88"/>
      <c r="L94" s="143">
        <f t="shared" si="17"/>
        <v>0</v>
      </c>
      <c r="N94" s="81"/>
      <c r="R94" s="79" t="str">
        <f t="shared" si="18"/>
        <v>NOT</v>
      </c>
      <c r="S94" s="79" t="str">
        <f t="shared" si="19"/>
        <v>NOT</v>
      </c>
      <c r="T94" s="79" t="str">
        <f t="shared" si="20"/>
        <v>NOT</v>
      </c>
      <c r="V94" s="79" t="str">
        <f t="shared" si="21"/>
        <v/>
      </c>
    </row>
    <row r="95" spans="1:22" x14ac:dyDescent="0.2">
      <c r="B95" s="259"/>
      <c r="C95" s="88"/>
      <c r="D95" s="260"/>
      <c r="E95" s="243"/>
      <c r="F95" s="261"/>
      <c r="G95" s="243"/>
      <c r="H95" s="262"/>
      <c r="I95" s="243"/>
      <c r="J95" s="262"/>
      <c r="K95" s="88"/>
      <c r="L95" s="143">
        <f t="shared" si="17"/>
        <v>0</v>
      </c>
      <c r="N95" s="81"/>
      <c r="R95" s="79" t="str">
        <f t="shared" si="18"/>
        <v>NOT</v>
      </c>
      <c r="S95" s="79" t="str">
        <f t="shared" si="19"/>
        <v>NOT</v>
      </c>
      <c r="T95" s="79" t="str">
        <f t="shared" si="20"/>
        <v>NOT</v>
      </c>
      <c r="V95" s="79" t="str">
        <f t="shared" si="21"/>
        <v/>
      </c>
    </row>
    <row r="96" spans="1:22" x14ac:dyDescent="0.2">
      <c r="B96" s="259"/>
      <c r="C96" s="88"/>
      <c r="D96" s="260"/>
      <c r="E96" s="243"/>
      <c r="F96" s="261"/>
      <c r="G96" s="243"/>
      <c r="H96" s="262"/>
      <c r="I96" s="243"/>
      <c r="J96" s="262"/>
      <c r="K96" s="88"/>
      <c r="L96" s="143">
        <f t="shared" si="17"/>
        <v>0</v>
      </c>
      <c r="N96" s="81"/>
      <c r="R96" s="79" t="str">
        <f t="shared" si="18"/>
        <v>NOT</v>
      </c>
      <c r="S96" s="79" t="str">
        <f t="shared" si="19"/>
        <v>NOT</v>
      </c>
      <c r="T96" s="79" t="str">
        <f t="shared" si="20"/>
        <v>NOT</v>
      </c>
      <c r="V96" s="79" t="str">
        <f t="shared" si="21"/>
        <v/>
      </c>
    </row>
    <row r="97" spans="1:22" x14ac:dyDescent="0.2">
      <c r="B97" s="104"/>
      <c r="C97" s="88"/>
      <c r="D97" s="81"/>
      <c r="F97" s="81"/>
      <c r="H97" s="81"/>
      <c r="J97" s="81"/>
      <c r="K97" s="88"/>
      <c r="L97" s="81"/>
      <c r="N97" s="227"/>
    </row>
    <row r="98" spans="1:22" x14ac:dyDescent="0.2">
      <c r="B98" s="104"/>
      <c r="C98" s="88"/>
      <c r="D98" s="81"/>
      <c r="F98" s="81"/>
      <c r="H98" s="81"/>
      <c r="J98" s="81"/>
      <c r="K98" s="88"/>
      <c r="L98" s="81"/>
      <c r="N98" s="227"/>
    </row>
    <row r="99" spans="1:22" ht="27" customHeight="1" x14ac:dyDescent="0.2">
      <c r="A99" s="247">
        <v>5</v>
      </c>
      <c r="B99" s="248" t="s">
        <v>290</v>
      </c>
      <c r="C99" s="249"/>
      <c r="D99" s="760"/>
      <c r="E99" s="761"/>
      <c r="F99" s="761"/>
      <c r="G99" s="761"/>
      <c r="H99" s="762"/>
      <c r="I99" s="250"/>
      <c r="J99" s="251" t="s">
        <v>18</v>
      </c>
      <c r="K99" s="249"/>
      <c r="L99" s="252">
        <f>L101+L112+L130+L148+L162+L174+L192</f>
        <v>102297</v>
      </c>
      <c r="M99" s="250"/>
      <c r="N99" s="253">
        <f>IF(L99=0,0%,L99/L$8)</f>
        <v>0.2467500045226767</v>
      </c>
      <c r="O99" s="94"/>
      <c r="P99" s="95"/>
      <c r="Q99" s="79">
        <f>IF(N99&gt;O99,D99,"")</f>
        <v>0</v>
      </c>
    </row>
    <row r="100" spans="1:22" s="76" customFormat="1" ht="7.5" customHeight="1" x14ac:dyDescent="0.2">
      <c r="A100" s="87"/>
      <c r="B100" s="88"/>
      <c r="C100" s="88"/>
      <c r="D100" s="70"/>
      <c r="E100" s="70"/>
      <c r="F100" s="70"/>
      <c r="G100" s="70"/>
      <c r="H100" s="70"/>
      <c r="I100" s="70"/>
      <c r="J100" s="70"/>
      <c r="K100" s="88"/>
      <c r="L100" s="70"/>
      <c r="M100" s="70"/>
      <c r="N100" s="70"/>
      <c r="O100" s="89"/>
      <c r="V100" s="79"/>
    </row>
    <row r="101" spans="1:22" ht="13.5" customHeight="1" x14ac:dyDescent="0.2">
      <c r="A101" s="276"/>
      <c r="B101" s="278" t="s">
        <v>291</v>
      </c>
      <c r="C101" s="277"/>
      <c r="D101" s="747" t="s">
        <v>166</v>
      </c>
      <c r="E101" s="748"/>
      <c r="F101" s="748"/>
      <c r="G101" s="748"/>
      <c r="H101" s="748"/>
      <c r="I101" s="279"/>
      <c r="J101" s="280" t="s">
        <v>18</v>
      </c>
      <c r="K101" s="88"/>
      <c r="L101" s="156">
        <f>SUM(L108:L110)</f>
        <v>7800</v>
      </c>
      <c r="M101" s="246"/>
      <c r="N101" s="147">
        <f>IF(L101=0,0%,L101/L$8)</f>
        <v>1.8814335076071421E-2</v>
      </c>
      <c r="O101" s="495">
        <f>IF(LEN(R101)&gt;3,1,0)</f>
        <v>0</v>
      </c>
      <c r="R101" s="79" t="str">
        <f>IF(AND(R107="NOT",S107="NOT",T107="NOT"),"NOT",D101)</f>
        <v>NOT</v>
      </c>
    </row>
    <row r="102" spans="1:22" s="76" customFormat="1" ht="3" customHeight="1" x14ac:dyDescent="0.2">
      <c r="A102" s="87"/>
      <c r="B102" s="88"/>
      <c r="C102" s="88"/>
      <c r="D102" s="70"/>
      <c r="E102" s="70"/>
      <c r="F102" s="70"/>
      <c r="G102" s="70"/>
      <c r="H102" s="70"/>
      <c r="I102" s="70"/>
      <c r="J102" s="70"/>
      <c r="K102" s="88"/>
      <c r="L102" s="70"/>
      <c r="M102" s="70"/>
      <c r="N102" s="70"/>
      <c r="O102" s="89"/>
      <c r="V102" s="79"/>
    </row>
    <row r="103" spans="1:22" x14ac:dyDescent="0.2">
      <c r="B103" s="742" t="s">
        <v>197</v>
      </c>
      <c r="C103" s="743"/>
      <c r="D103" s="743"/>
      <c r="E103" s="743"/>
      <c r="F103" s="743"/>
      <c r="H103" s="81"/>
      <c r="J103" s="81"/>
      <c r="K103" s="88"/>
      <c r="L103" s="81"/>
      <c r="N103" s="227"/>
      <c r="R103" s="79" t="str">
        <f>IF(AND(($L101&gt;0),ISBLANK(B105)),B103,"NOT")</f>
        <v>NOT</v>
      </c>
    </row>
    <row r="104" spans="1:22" ht="3" customHeight="1" x14ac:dyDescent="0.2">
      <c r="B104" s="104"/>
      <c r="C104" s="88"/>
      <c r="D104" s="81"/>
      <c r="F104" s="81"/>
      <c r="H104" s="81"/>
      <c r="J104" s="81"/>
      <c r="K104" s="88"/>
      <c r="L104" s="81"/>
      <c r="N104" s="227"/>
    </row>
    <row r="105" spans="1:22" ht="36" customHeight="1" x14ac:dyDescent="0.2">
      <c r="B105" s="763" t="s">
        <v>906</v>
      </c>
      <c r="C105" s="745"/>
      <c r="D105" s="745"/>
      <c r="E105" s="745"/>
      <c r="F105" s="745"/>
      <c r="G105" s="745"/>
      <c r="H105" s="745"/>
      <c r="I105" s="745"/>
      <c r="J105" s="745"/>
      <c r="K105" s="745"/>
      <c r="L105" s="746"/>
      <c r="M105" s="70" t="s">
        <v>19</v>
      </c>
      <c r="N105" s="227"/>
    </row>
    <row r="106" spans="1:22" ht="3.75" customHeight="1" x14ac:dyDescent="0.2">
      <c r="B106" s="104"/>
      <c r="C106" s="88"/>
      <c r="D106" s="81"/>
      <c r="F106" s="81"/>
      <c r="H106" s="81"/>
      <c r="J106" s="81"/>
      <c r="K106" s="88"/>
      <c r="L106" s="81"/>
      <c r="N106" s="227"/>
    </row>
    <row r="107" spans="1:22" ht="12.75" customHeight="1" x14ac:dyDescent="0.2">
      <c r="B107" s="244" t="s">
        <v>17</v>
      </c>
      <c r="C107" s="88"/>
      <c r="D107" s="244" t="s">
        <v>580</v>
      </c>
      <c r="F107" s="244" t="s">
        <v>205</v>
      </c>
      <c r="H107" s="244" t="s">
        <v>16</v>
      </c>
      <c r="J107" s="244" t="s">
        <v>15</v>
      </c>
      <c r="K107" s="245"/>
      <c r="L107" s="103" t="s">
        <v>141</v>
      </c>
      <c r="N107" s="81"/>
      <c r="R107" s="255" t="str">
        <f>IF(AND(R108="NOT",R109="NOT",R110="NOT",R103="NOT"),"NOT",D101)</f>
        <v>NOT</v>
      </c>
      <c r="S107" s="255" t="str">
        <f>IF(AND(S108="NOT",S109="NOT",S110="NOT",R103="NOT"),"NOT",D101)</f>
        <v>NOT</v>
      </c>
      <c r="T107" s="255" t="str">
        <f>IF(AND(T108="NOT",T109="NOT",T110="NOT",R103="NOT"),"NOT",D101)</f>
        <v>NOT</v>
      </c>
    </row>
    <row r="108" spans="1:22" ht="25.5" x14ac:dyDescent="0.2">
      <c r="B108" s="512" t="s">
        <v>729</v>
      </c>
      <c r="C108" s="88"/>
      <c r="D108" s="260" t="s">
        <v>894</v>
      </c>
      <c r="E108" s="243"/>
      <c r="F108" s="513" t="s">
        <v>764</v>
      </c>
      <c r="G108" s="243"/>
      <c r="H108" s="262">
        <v>1</v>
      </c>
      <c r="I108" s="243"/>
      <c r="J108" s="543">
        <v>7800</v>
      </c>
      <c r="K108" s="88"/>
      <c r="L108" s="143">
        <f>TRUNC(H108*J108,2)</f>
        <v>7800</v>
      </c>
      <c r="N108" s="81"/>
      <c r="R108" s="79" t="str">
        <f>IF(AND(($L108&gt;0),ISBLANK(B108)),B108,"NOT")</f>
        <v>NOT</v>
      </c>
      <c r="S108" s="79" t="str">
        <f>IF(AND(($L108&gt;0),ISBLANK(D108)),D108,"NOT")</f>
        <v>NOT</v>
      </c>
      <c r="T108" s="79" t="str">
        <f>IF(AND(($L108&gt;0),ISBLANK(F108)),F108,"NOT")</f>
        <v>NOT</v>
      </c>
      <c r="V108" s="79" t="str">
        <f>LEFT(D108,3)</f>
        <v>11.</v>
      </c>
    </row>
    <row r="109" spans="1:22" x14ac:dyDescent="0.2">
      <c r="B109" s="512"/>
      <c r="C109" s="88"/>
      <c r="D109" s="260"/>
      <c r="E109" s="243"/>
      <c r="F109" s="513"/>
      <c r="G109" s="243"/>
      <c r="H109" s="262"/>
      <c r="I109" s="243"/>
      <c r="J109" s="262"/>
      <c r="K109" s="88"/>
      <c r="L109" s="143">
        <f>TRUNC(H109*J109,2)</f>
        <v>0</v>
      </c>
      <c r="N109" s="81"/>
      <c r="R109" s="79" t="str">
        <f>IF(AND(($L109&gt;0),ISBLANK(B109)),B109,"NOT")</f>
        <v>NOT</v>
      </c>
      <c r="S109" s="79" t="str">
        <f>IF(AND(($L109&gt;0),ISBLANK(D109)),D109,"NOT")</f>
        <v>NOT</v>
      </c>
      <c r="T109" s="79" t="str">
        <f>IF(AND(($L109&gt;0),ISBLANK(F109)),F109,"NOT")</f>
        <v>NOT</v>
      </c>
      <c r="V109" s="79" t="str">
        <f>LEFT(D109,3)</f>
        <v/>
      </c>
    </row>
    <row r="110" spans="1:22" x14ac:dyDescent="0.2">
      <c r="B110" s="259"/>
      <c r="C110" s="88"/>
      <c r="D110" s="260"/>
      <c r="E110" s="243"/>
      <c r="F110" s="261"/>
      <c r="G110" s="243"/>
      <c r="H110" s="262"/>
      <c r="I110" s="243"/>
      <c r="J110" s="262"/>
      <c r="K110" s="88"/>
      <c r="L110" s="143">
        <f>TRUNC(H110*J110,2)</f>
        <v>0</v>
      </c>
      <c r="N110" s="81"/>
      <c r="R110" s="79" t="str">
        <f>IF(AND(($L110&gt;0),ISBLANK(B110)),B110,"NOT")</f>
        <v>NOT</v>
      </c>
      <c r="S110" s="79" t="str">
        <f>IF(AND(($L110&gt;0),ISBLANK(D110)),D110,"NOT")</f>
        <v>NOT</v>
      </c>
      <c r="T110" s="79" t="str">
        <f>IF(AND(($L110&gt;0),ISBLANK(F110)),F110,"NOT")</f>
        <v>NOT</v>
      </c>
      <c r="V110" s="79" t="str">
        <f>LEFT(D110,3)</f>
        <v/>
      </c>
    </row>
    <row r="111" spans="1:22" x14ac:dyDescent="0.2">
      <c r="B111" s="104"/>
      <c r="C111" s="88"/>
      <c r="D111" s="81"/>
      <c r="F111" s="81"/>
      <c r="H111" s="81"/>
      <c r="J111" s="81"/>
      <c r="K111" s="88"/>
      <c r="L111" s="81"/>
      <c r="N111" s="227"/>
    </row>
    <row r="112" spans="1:22" ht="25.5" customHeight="1" x14ac:dyDescent="0.2">
      <c r="A112" s="276"/>
      <c r="B112" s="278" t="s">
        <v>292</v>
      </c>
      <c r="C112" s="277"/>
      <c r="D112" s="747" t="s">
        <v>166</v>
      </c>
      <c r="E112" s="748"/>
      <c r="F112" s="748"/>
      <c r="G112" s="748"/>
      <c r="H112" s="748"/>
      <c r="I112" s="279"/>
      <c r="J112" s="280" t="s">
        <v>18</v>
      </c>
      <c r="K112" s="88"/>
      <c r="L112" s="156">
        <f>SUM(L119:L128)</f>
        <v>0</v>
      </c>
      <c r="M112" s="246"/>
      <c r="N112" s="147">
        <f>IF(L112=0,0%,L112/L$8)</f>
        <v>0</v>
      </c>
      <c r="O112" s="495">
        <f>IF(LEN(R112)&gt;3,1,0)</f>
        <v>0</v>
      </c>
      <c r="R112" s="79" t="str">
        <f>IF(AND(R118="NOT",S118="NOT",T118="NOT"),"NOT",D112)</f>
        <v>NOT</v>
      </c>
    </row>
    <row r="113" spans="1:22" s="76" customFormat="1" ht="3" customHeight="1" x14ac:dyDescent="0.2">
      <c r="A113" s="87"/>
      <c r="B113" s="88"/>
      <c r="C113" s="88"/>
      <c r="D113" s="70"/>
      <c r="E113" s="70"/>
      <c r="F113" s="70"/>
      <c r="G113" s="70"/>
      <c r="H113" s="70"/>
      <c r="I113" s="70"/>
      <c r="J113" s="70"/>
      <c r="K113" s="88"/>
      <c r="L113" s="70"/>
      <c r="M113" s="70"/>
      <c r="N113" s="70"/>
      <c r="O113" s="89"/>
      <c r="V113" s="79"/>
    </row>
    <row r="114" spans="1:22" ht="25.5" customHeight="1" x14ac:dyDescent="0.2">
      <c r="B114" s="749" t="s">
        <v>203</v>
      </c>
      <c r="C114" s="787"/>
      <c r="D114" s="787"/>
      <c r="E114" s="787"/>
      <c r="F114" s="787"/>
      <c r="H114" s="81"/>
      <c r="J114" s="81"/>
      <c r="K114" s="88"/>
      <c r="L114" s="81"/>
      <c r="N114" s="227"/>
      <c r="R114" s="79" t="str">
        <f>IF(AND(($L112&gt;0),ISBLANK(B116)),B114,"NOT")</f>
        <v>NOT</v>
      </c>
    </row>
    <row r="115" spans="1:22" ht="3" customHeight="1" x14ac:dyDescent="0.2">
      <c r="B115" s="104"/>
      <c r="C115" s="88"/>
      <c r="D115" s="81"/>
      <c r="F115" s="81"/>
      <c r="H115" s="81"/>
      <c r="J115" s="81"/>
      <c r="K115" s="88"/>
      <c r="L115" s="81"/>
      <c r="N115" s="227"/>
    </row>
    <row r="116" spans="1:22" ht="60" customHeight="1" x14ac:dyDescent="0.2">
      <c r="B116" s="744"/>
      <c r="C116" s="745"/>
      <c r="D116" s="745"/>
      <c r="E116" s="745"/>
      <c r="F116" s="745"/>
      <c r="G116" s="745"/>
      <c r="H116" s="745"/>
      <c r="I116" s="745"/>
      <c r="J116" s="745"/>
      <c r="K116" s="745"/>
      <c r="L116" s="746"/>
      <c r="M116" s="70" t="s">
        <v>19</v>
      </c>
      <c r="N116" s="227"/>
    </row>
    <row r="117" spans="1:22" ht="3.75" customHeight="1" x14ac:dyDescent="0.2">
      <c r="B117" s="104"/>
      <c r="C117" s="88"/>
      <c r="D117" s="81"/>
      <c r="F117" s="81"/>
      <c r="H117" s="81"/>
      <c r="J117" s="81"/>
      <c r="K117" s="88"/>
      <c r="L117" s="81"/>
      <c r="N117" s="227"/>
    </row>
    <row r="118" spans="1:22" ht="25.5" x14ac:dyDescent="0.2">
      <c r="B118" s="244" t="s">
        <v>579</v>
      </c>
      <c r="C118" s="88"/>
      <c r="D118" s="244" t="s">
        <v>580</v>
      </c>
      <c r="F118" s="244" t="s">
        <v>205</v>
      </c>
      <c r="H118" s="244" t="s">
        <v>16</v>
      </c>
      <c r="J118" s="244" t="s">
        <v>15</v>
      </c>
      <c r="K118" s="245"/>
      <c r="L118" s="103" t="s">
        <v>141</v>
      </c>
      <c r="N118" s="81"/>
      <c r="R118" s="255" t="str">
        <f>IF(AND(R119="NOT",R120="NOT",R121="NOT",R122="NOT",R123="NOT",R124="NOT",R125="NOT",R126="NOT",R127="NOT",R128="NOT",R114="NOT"),"NOT",D112)</f>
        <v>NOT</v>
      </c>
      <c r="S118" s="255" t="str">
        <f>IF(AND(S119="NOT",S120="NOT",S121="NOT",S122="NOT",S123="NOT",S124="NOT",S125="NOT",S126="NOT",S127="NOT",S128="NOT",R114="NOT"),"NOT",D112)</f>
        <v>NOT</v>
      </c>
      <c r="T118" s="255" t="str">
        <f>IF(AND(T119="NOT",T120="NOT",T121="NOT",T122="NOT",T123="NOT",T124="NOT",T125="NOT",T126="NOT",T127="NOT",T128="NOT",R114="NOT"),"NOT",D112)</f>
        <v>NOT</v>
      </c>
    </row>
    <row r="119" spans="1:22" x14ac:dyDescent="0.2">
      <c r="B119" s="259"/>
      <c r="C119" s="88"/>
      <c r="D119" s="260"/>
      <c r="E119" s="243"/>
      <c r="F119" s="261"/>
      <c r="G119" s="243"/>
      <c r="H119" s="262"/>
      <c r="I119" s="243"/>
      <c r="J119" s="262"/>
      <c r="K119" s="88"/>
      <c r="L119" s="143">
        <f t="shared" ref="L119:L128" si="22">TRUNC(H119*J119,2)</f>
        <v>0</v>
      </c>
      <c r="N119" s="81"/>
      <c r="R119" s="79" t="str">
        <f t="shared" ref="R119:R128" si="23">IF(AND(($L119&gt;0),ISBLANK(B119)),B119,"NOT")</f>
        <v>NOT</v>
      </c>
      <c r="S119" s="79" t="str">
        <f t="shared" ref="S119:S128" si="24">IF(AND(($L119&gt;0),ISBLANK(D119)),D119,"NOT")</f>
        <v>NOT</v>
      </c>
      <c r="T119" s="79" t="str">
        <f t="shared" ref="T119:T128" si="25">IF(AND(($L119&gt;0),ISBLANK(F119)),F119,"NOT")</f>
        <v>NOT</v>
      </c>
      <c r="V119" s="79" t="str">
        <f t="shared" ref="V119:V128" si="26">LEFT(D119,3)</f>
        <v/>
      </c>
    </row>
    <row r="120" spans="1:22" x14ac:dyDescent="0.2">
      <c r="B120" s="259"/>
      <c r="C120" s="88"/>
      <c r="D120" s="260"/>
      <c r="E120" s="243"/>
      <c r="F120" s="261"/>
      <c r="G120" s="243"/>
      <c r="H120" s="262"/>
      <c r="I120" s="243"/>
      <c r="J120" s="262"/>
      <c r="K120" s="88"/>
      <c r="L120" s="143">
        <f t="shared" si="22"/>
        <v>0</v>
      </c>
      <c r="N120" s="81"/>
      <c r="R120" s="79" t="str">
        <f t="shared" si="23"/>
        <v>NOT</v>
      </c>
      <c r="S120" s="79" t="str">
        <f t="shared" si="24"/>
        <v>NOT</v>
      </c>
      <c r="T120" s="79" t="str">
        <f t="shared" si="25"/>
        <v>NOT</v>
      </c>
      <c r="V120" s="79" t="str">
        <f t="shared" si="26"/>
        <v/>
      </c>
    </row>
    <row r="121" spans="1:22" x14ac:dyDescent="0.2">
      <c r="B121" s="259"/>
      <c r="C121" s="88"/>
      <c r="D121" s="260"/>
      <c r="E121" s="243"/>
      <c r="F121" s="261"/>
      <c r="G121" s="243"/>
      <c r="H121" s="262"/>
      <c r="I121" s="243"/>
      <c r="J121" s="262"/>
      <c r="K121" s="88"/>
      <c r="L121" s="143">
        <f t="shared" si="22"/>
        <v>0</v>
      </c>
      <c r="N121" s="81"/>
      <c r="R121" s="79" t="str">
        <f t="shared" si="23"/>
        <v>NOT</v>
      </c>
      <c r="S121" s="79" t="str">
        <f t="shared" si="24"/>
        <v>NOT</v>
      </c>
      <c r="T121" s="79" t="str">
        <f t="shared" si="25"/>
        <v>NOT</v>
      </c>
      <c r="V121" s="79" t="str">
        <f t="shared" si="26"/>
        <v/>
      </c>
    </row>
    <row r="122" spans="1:22" x14ac:dyDescent="0.2">
      <c r="B122" s="259"/>
      <c r="C122" s="88"/>
      <c r="D122" s="260"/>
      <c r="E122" s="243"/>
      <c r="F122" s="261"/>
      <c r="G122" s="243"/>
      <c r="H122" s="262"/>
      <c r="I122" s="243"/>
      <c r="J122" s="262"/>
      <c r="K122" s="88"/>
      <c r="L122" s="143">
        <f t="shared" si="22"/>
        <v>0</v>
      </c>
      <c r="N122" s="81"/>
      <c r="R122" s="79" t="str">
        <f t="shared" si="23"/>
        <v>NOT</v>
      </c>
      <c r="S122" s="79" t="str">
        <f t="shared" si="24"/>
        <v>NOT</v>
      </c>
      <c r="T122" s="79" t="str">
        <f t="shared" si="25"/>
        <v>NOT</v>
      </c>
      <c r="V122" s="79" t="str">
        <f t="shared" si="26"/>
        <v/>
      </c>
    </row>
    <row r="123" spans="1:22" x14ac:dyDescent="0.2">
      <c r="B123" s="259"/>
      <c r="C123" s="88"/>
      <c r="D123" s="260"/>
      <c r="E123" s="243"/>
      <c r="F123" s="261"/>
      <c r="G123" s="243"/>
      <c r="H123" s="262"/>
      <c r="I123" s="243"/>
      <c r="J123" s="262"/>
      <c r="K123" s="88"/>
      <c r="L123" s="143">
        <f t="shared" si="22"/>
        <v>0</v>
      </c>
      <c r="N123" s="81"/>
      <c r="R123" s="79" t="str">
        <f t="shared" si="23"/>
        <v>NOT</v>
      </c>
      <c r="S123" s="79" t="str">
        <f t="shared" si="24"/>
        <v>NOT</v>
      </c>
      <c r="T123" s="79" t="str">
        <f t="shared" si="25"/>
        <v>NOT</v>
      </c>
      <c r="V123" s="79" t="str">
        <f t="shared" si="26"/>
        <v/>
      </c>
    </row>
    <row r="124" spans="1:22" x14ac:dyDescent="0.2">
      <c r="B124" s="259"/>
      <c r="C124" s="88"/>
      <c r="D124" s="260"/>
      <c r="E124" s="243"/>
      <c r="F124" s="261"/>
      <c r="G124" s="243"/>
      <c r="H124" s="262"/>
      <c r="I124" s="243"/>
      <c r="J124" s="262"/>
      <c r="K124" s="88"/>
      <c r="L124" s="143">
        <f t="shared" si="22"/>
        <v>0</v>
      </c>
      <c r="N124" s="81"/>
      <c r="R124" s="79" t="str">
        <f t="shared" si="23"/>
        <v>NOT</v>
      </c>
      <c r="S124" s="79" t="str">
        <f t="shared" si="24"/>
        <v>NOT</v>
      </c>
      <c r="T124" s="79" t="str">
        <f t="shared" si="25"/>
        <v>NOT</v>
      </c>
      <c r="V124" s="79" t="str">
        <f t="shared" si="26"/>
        <v/>
      </c>
    </row>
    <row r="125" spans="1:22" x14ac:dyDescent="0.2">
      <c r="B125" s="259"/>
      <c r="C125" s="88"/>
      <c r="D125" s="260"/>
      <c r="E125" s="243"/>
      <c r="F125" s="261"/>
      <c r="G125" s="243"/>
      <c r="H125" s="262"/>
      <c r="I125" s="243"/>
      <c r="J125" s="262"/>
      <c r="K125" s="88"/>
      <c r="L125" s="143">
        <f t="shared" si="22"/>
        <v>0</v>
      </c>
      <c r="N125" s="81"/>
      <c r="R125" s="79" t="str">
        <f t="shared" si="23"/>
        <v>NOT</v>
      </c>
      <c r="S125" s="79" t="str">
        <f t="shared" si="24"/>
        <v>NOT</v>
      </c>
      <c r="T125" s="79" t="str">
        <f t="shared" si="25"/>
        <v>NOT</v>
      </c>
      <c r="V125" s="79" t="str">
        <f t="shared" si="26"/>
        <v/>
      </c>
    </row>
    <row r="126" spans="1:22" x14ac:dyDescent="0.2">
      <c r="B126" s="259"/>
      <c r="C126" s="88"/>
      <c r="D126" s="260"/>
      <c r="E126" s="243"/>
      <c r="F126" s="261"/>
      <c r="G126" s="243"/>
      <c r="H126" s="262"/>
      <c r="I126" s="243"/>
      <c r="J126" s="262"/>
      <c r="K126" s="88"/>
      <c r="L126" s="143">
        <f t="shared" si="22"/>
        <v>0</v>
      </c>
      <c r="N126" s="81"/>
      <c r="R126" s="79" t="str">
        <f t="shared" si="23"/>
        <v>NOT</v>
      </c>
      <c r="S126" s="79" t="str">
        <f t="shared" si="24"/>
        <v>NOT</v>
      </c>
      <c r="T126" s="79" t="str">
        <f t="shared" si="25"/>
        <v>NOT</v>
      </c>
      <c r="V126" s="79" t="str">
        <f t="shared" si="26"/>
        <v/>
      </c>
    </row>
    <row r="127" spans="1:22" x14ac:dyDescent="0.2">
      <c r="B127" s="259"/>
      <c r="C127" s="88"/>
      <c r="D127" s="260"/>
      <c r="E127" s="243"/>
      <c r="F127" s="261"/>
      <c r="G127" s="243"/>
      <c r="H127" s="262"/>
      <c r="I127" s="243"/>
      <c r="J127" s="262"/>
      <c r="K127" s="88"/>
      <c r="L127" s="143">
        <f t="shared" si="22"/>
        <v>0</v>
      </c>
      <c r="N127" s="81"/>
      <c r="R127" s="79" t="str">
        <f t="shared" si="23"/>
        <v>NOT</v>
      </c>
      <c r="S127" s="79" t="str">
        <f t="shared" si="24"/>
        <v>NOT</v>
      </c>
      <c r="T127" s="79" t="str">
        <f t="shared" si="25"/>
        <v>NOT</v>
      </c>
      <c r="V127" s="79" t="str">
        <f t="shared" si="26"/>
        <v/>
      </c>
    </row>
    <row r="128" spans="1:22" x14ac:dyDescent="0.2">
      <c r="B128" s="259"/>
      <c r="C128" s="88"/>
      <c r="D128" s="260"/>
      <c r="E128" s="243"/>
      <c r="F128" s="261"/>
      <c r="G128" s="243"/>
      <c r="H128" s="262"/>
      <c r="I128" s="243"/>
      <c r="J128" s="262"/>
      <c r="K128" s="88"/>
      <c r="L128" s="143">
        <f t="shared" si="22"/>
        <v>0</v>
      </c>
      <c r="N128" s="81"/>
      <c r="R128" s="79" t="str">
        <f t="shared" si="23"/>
        <v>NOT</v>
      </c>
      <c r="S128" s="79" t="str">
        <f t="shared" si="24"/>
        <v>NOT</v>
      </c>
      <c r="T128" s="79" t="str">
        <f t="shared" si="25"/>
        <v>NOT</v>
      </c>
      <c r="V128" s="79" t="str">
        <f t="shared" si="26"/>
        <v/>
      </c>
    </row>
    <row r="129" spans="1:22" s="76" customFormat="1" ht="12.75" customHeight="1" x14ac:dyDescent="0.2">
      <c r="A129" s="87"/>
      <c r="B129" s="88"/>
      <c r="C129" s="88"/>
      <c r="D129" s="70"/>
      <c r="E129" s="70"/>
      <c r="F129" s="70"/>
      <c r="G129" s="70"/>
      <c r="H129" s="70"/>
      <c r="I129" s="70"/>
      <c r="J129" s="70"/>
      <c r="K129" s="88"/>
      <c r="L129" s="70"/>
      <c r="M129" s="70"/>
      <c r="N129" s="70"/>
      <c r="O129" s="89"/>
      <c r="V129" s="79"/>
    </row>
    <row r="130" spans="1:22" ht="28.5" customHeight="1" x14ac:dyDescent="0.2">
      <c r="A130" s="276"/>
      <c r="B130" s="278" t="s">
        <v>295</v>
      </c>
      <c r="C130" s="277"/>
      <c r="D130" s="747" t="s">
        <v>166</v>
      </c>
      <c r="E130" s="748"/>
      <c r="F130" s="748"/>
      <c r="G130" s="748"/>
      <c r="H130" s="748"/>
      <c r="I130" s="279"/>
      <c r="J130" s="280" t="s">
        <v>18</v>
      </c>
      <c r="K130" s="88"/>
      <c r="L130" s="156">
        <f>SUM(L137:L146)</f>
        <v>26450</v>
      </c>
      <c r="M130" s="246"/>
      <c r="N130" s="147">
        <f>IF(L130=0,0%,L130/L$8)</f>
        <v>6.3799892661806301E-2</v>
      </c>
      <c r="O130" s="495">
        <f>IF(LEN(R130)&gt;3,1,0)</f>
        <v>0</v>
      </c>
      <c r="R130" s="79" t="str">
        <f>IF(AND(R136="NOT",S136="NOT",T136="NOT"),"NOT",D130)</f>
        <v>NOT</v>
      </c>
    </row>
    <row r="131" spans="1:22" s="76" customFormat="1" ht="3" customHeight="1" x14ac:dyDescent="0.2">
      <c r="A131" s="87"/>
      <c r="B131" s="88"/>
      <c r="C131" s="88"/>
      <c r="D131" s="70"/>
      <c r="E131" s="70"/>
      <c r="F131" s="70"/>
      <c r="G131" s="70"/>
      <c r="H131" s="70"/>
      <c r="I131" s="70"/>
      <c r="J131" s="70"/>
      <c r="K131" s="88"/>
      <c r="L131" s="70"/>
      <c r="M131" s="70"/>
      <c r="N131" s="70"/>
      <c r="O131" s="89"/>
      <c r="V131" s="79"/>
    </row>
    <row r="132" spans="1:22" ht="27.75" customHeight="1" x14ac:dyDescent="0.2">
      <c r="B132" s="742" t="s">
        <v>198</v>
      </c>
      <c r="C132" s="743"/>
      <c r="D132" s="743"/>
      <c r="E132" s="743"/>
      <c r="F132" s="743"/>
      <c r="H132" s="81"/>
      <c r="J132" s="81"/>
      <c r="K132" s="88"/>
      <c r="L132" s="81"/>
      <c r="N132" s="227"/>
      <c r="R132" s="79" t="str">
        <f>IF(AND(($L130&gt;0),ISBLANK(B134)),B132,"NOT")</f>
        <v>NOT</v>
      </c>
    </row>
    <row r="133" spans="1:22" ht="3" customHeight="1" x14ac:dyDescent="0.2">
      <c r="B133" s="104"/>
      <c r="C133" s="88"/>
      <c r="D133" s="81"/>
      <c r="F133" s="81"/>
      <c r="H133" s="81"/>
      <c r="J133" s="81"/>
      <c r="K133" s="88"/>
      <c r="L133" s="81"/>
      <c r="N133" s="227"/>
    </row>
    <row r="134" spans="1:22" ht="81" customHeight="1" x14ac:dyDescent="0.2">
      <c r="B134" s="763" t="s">
        <v>751</v>
      </c>
      <c r="C134" s="745"/>
      <c r="D134" s="745"/>
      <c r="E134" s="745"/>
      <c r="F134" s="745"/>
      <c r="G134" s="745"/>
      <c r="H134" s="745"/>
      <c r="I134" s="745"/>
      <c r="J134" s="745"/>
      <c r="K134" s="745"/>
      <c r="L134" s="746"/>
      <c r="M134" s="70" t="s">
        <v>19</v>
      </c>
      <c r="N134" s="227"/>
    </row>
    <row r="135" spans="1:22" ht="3.75" customHeight="1" x14ac:dyDescent="0.2">
      <c r="B135" s="104"/>
      <c r="C135" s="88"/>
      <c r="D135" s="81"/>
      <c r="F135" s="81"/>
      <c r="H135" s="81"/>
      <c r="J135" s="81"/>
      <c r="K135" s="88"/>
      <c r="L135" s="81"/>
      <c r="N135" s="227"/>
    </row>
    <row r="136" spans="1:22" ht="38.25" x14ac:dyDescent="0.2">
      <c r="B136" s="244" t="s">
        <v>199</v>
      </c>
      <c r="C136" s="88"/>
      <c r="D136" s="244" t="s">
        <v>580</v>
      </c>
      <c r="F136" s="244" t="s">
        <v>205</v>
      </c>
      <c r="H136" s="244" t="s">
        <v>16</v>
      </c>
      <c r="J136" s="244" t="s">
        <v>15</v>
      </c>
      <c r="K136" s="245"/>
      <c r="L136" s="103" t="s">
        <v>141</v>
      </c>
      <c r="N136" s="81"/>
      <c r="R136" s="255" t="str">
        <f>IF(AND(R137="NOT",R138="NOT",R139="NOT",R140="NOT",R141="NOT",R142="NOT",R143="NOT",R144="NOT",R145="NOT",R146="NOT",R132="NOT"),"NOT",D130)</f>
        <v>NOT</v>
      </c>
      <c r="S136" s="255" t="str">
        <f>IF(AND(S137="NOT",S138="NOT",S139="NOT",S140="NOT",S141="NOT",S142="NOT",S143="NOT",S144="NOT",S145="NOT",S146="NOT",R132="NOT"),"NOT",D130)</f>
        <v>NOT</v>
      </c>
      <c r="T136" s="255" t="str">
        <f>IF(AND(T137="NOT",T138="NOT",T139="NOT",T140="NOT",T141="NOT",T142="NOT",T143="NOT",T144="NOT",T145="NOT",T146="NOT",R132="NOT"),"NOT",D130)</f>
        <v>NOT</v>
      </c>
    </row>
    <row r="137" spans="1:22" ht="63.75" x14ac:dyDescent="0.2">
      <c r="B137" s="512" t="s">
        <v>730</v>
      </c>
      <c r="C137" s="88"/>
      <c r="D137" s="260" t="s">
        <v>766</v>
      </c>
      <c r="E137" s="243"/>
      <c r="F137" s="513" t="s">
        <v>765</v>
      </c>
      <c r="G137" s="243"/>
      <c r="H137" s="262">
        <v>2</v>
      </c>
      <c r="I137" s="243"/>
      <c r="J137" s="262">
        <v>300</v>
      </c>
      <c r="K137" s="88"/>
      <c r="L137" s="143">
        <f t="shared" ref="L137:L146" si="27">TRUNC(H137*J137,2)</f>
        <v>600</v>
      </c>
      <c r="N137" s="81"/>
      <c r="R137" s="79" t="str">
        <f t="shared" ref="R137:R146" si="28">IF(AND(($L137&gt;0),ISBLANK(B137)),B137,"NOT")</f>
        <v>NOT</v>
      </c>
      <c r="S137" s="79" t="str">
        <f t="shared" ref="S137:S146" si="29">IF(AND(($L137&gt;0),ISBLANK(D137)),D137,"NOT")</f>
        <v>NOT</v>
      </c>
      <c r="T137" s="79" t="str">
        <f t="shared" ref="T137:T146" si="30">IF(AND(($L137&gt;0),ISBLANK(F137)),F137,"NOT")</f>
        <v>NOT</v>
      </c>
      <c r="V137" s="79" t="str">
        <f t="shared" ref="V137:V144" si="31">LEFT(D137,3)</f>
        <v xml:space="preserve">8. </v>
      </c>
    </row>
    <row r="138" spans="1:22" ht="51" x14ac:dyDescent="0.2">
      <c r="B138" s="512" t="s">
        <v>731</v>
      </c>
      <c r="C138" s="88"/>
      <c r="D138" s="260" t="s">
        <v>767</v>
      </c>
      <c r="E138" s="243"/>
      <c r="F138" s="513" t="s">
        <v>764</v>
      </c>
      <c r="G138" s="243"/>
      <c r="H138" s="262">
        <v>1</v>
      </c>
      <c r="I138" s="243"/>
      <c r="J138" s="262">
        <v>1000</v>
      </c>
      <c r="K138" s="88"/>
      <c r="L138" s="143">
        <f t="shared" si="27"/>
        <v>1000</v>
      </c>
      <c r="N138" s="81"/>
      <c r="R138" s="79" t="str">
        <f t="shared" si="28"/>
        <v>NOT</v>
      </c>
      <c r="S138" s="79" t="str">
        <f t="shared" si="29"/>
        <v>NOT</v>
      </c>
      <c r="T138" s="79" t="str">
        <f t="shared" si="30"/>
        <v>NOT</v>
      </c>
      <c r="V138" s="79" t="str">
        <f t="shared" si="31"/>
        <v xml:space="preserve">3. </v>
      </c>
    </row>
    <row r="139" spans="1:22" ht="38.25" x14ac:dyDescent="0.2">
      <c r="B139" s="512" t="s">
        <v>732</v>
      </c>
      <c r="C139" s="88"/>
      <c r="D139" s="260" t="s">
        <v>767</v>
      </c>
      <c r="E139" s="243"/>
      <c r="F139" s="513" t="s">
        <v>765</v>
      </c>
      <c r="G139" s="243"/>
      <c r="H139" s="262">
        <v>1</v>
      </c>
      <c r="I139" s="243"/>
      <c r="J139" s="262">
        <v>150</v>
      </c>
      <c r="K139" s="88"/>
      <c r="L139" s="143">
        <f t="shared" si="27"/>
        <v>150</v>
      </c>
      <c r="N139" s="81"/>
      <c r="R139" s="79" t="str">
        <f t="shared" si="28"/>
        <v>NOT</v>
      </c>
      <c r="S139" s="79" t="str">
        <f t="shared" si="29"/>
        <v>NOT</v>
      </c>
      <c r="T139" s="79" t="str">
        <f t="shared" si="30"/>
        <v>NOT</v>
      </c>
      <c r="V139" s="79" t="str">
        <f t="shared" si="31"/>
        <v xml:space="preserve">3. </v>
      </c>
    </row>
    <row r="140" spans="1:22" ht="127.5" x14ac:dyDescent="0.2">
      <c r="B140" s="512" t="s">
        <v>998</v>
      </c>
      <c r="C140" s="88"/>
      <c r="D140" s="260" t="s">
        <v>768</v>
      </c>
      <c r="E140" s="243"/>
      <c r="F140" s="513" t="s">
        <v>764</v>
      </c>
      <c r="G140" s="243"/>
      <c r="H140" s="262">
        <v>1</v>
      </c>
      <c r="I140" s="243"/>
      <c r="J140" s="262">
        <v>6700</v>
      </c>
      <c r="K140" s="88"/>
      <c r="L140" s="143">
        <f t="shared" si="27"/>
        <v>6700</v>
      </c>
      <c r="N140" s="81"/>
      <c r="R140" s="79" t="str">
        <f t="shared" si="28"/>
        <v>NOT</v>
      </c>
      <c r="S140" s="79" t="str">
        <f t="shared" si="29"/>
        <v>NOT</v>
      </c>
      <c r="T140" s="79" t="str">
        <f t="shared" si="30"/>
        <v>NOT</v>
      </c>
      <c r="V140" s="79" t="str">
        <f t="shared" si="31"/>
        <v xml:space="preserve">6. </v>
      </c>
    </row>
    <row r="141" spans="1:22" ht="165.75" x14ac:dyDescent="0.2">
      <c r="B141" s="512" t="s">
        <v>999</v>
      </c>
      <c r="C141" s="88"/>
      <c r="D141" s="260" t="s">
        <v>768</v>
      </c>
      <c r="E141" s="243"/>
      <c r="F141" s="513" t="s">
        <v>764</v>
      </c>
      <c r="G141" s="243"/>
      <c r="H141" s="262">
        <v>1</v>
      </c>
      <c r="I141" s="243"/>
      <c r="J141" s="262">
        <v>18000</v>
      </c>
      <c r="K141" s="88"/>
      <c r="L141" s="143">
        <f t="shared" si="27"/>
        <v>18000</v>
      </c>
      <c r="N141" s="81"/>
      <c r="R141" s="79" t="str">
        <f t="shared" si="28"/>
        <v>NOT</v>
      </c>
      <c r="S141" s="79" t="str">
        <f t="shared" si="29"/>
        <v>NOT</v>
      </c>
      <c r="T141" s="79" t="str">
        <f t="shared" si="30"/>
        <v>NOT</v>
      </c>
      <c r="V141" s="79" t="str">
        <f t="shared" si="31"/>
        <v xml:space="preserve">6. </v>
      </c>
    </row>
    <row r="142" spans="1:22" ht="76.5" x14ac:dyDescent="0.2">
      <c r="B142" s="544" t="s">
        <v>733</v>
      </c>
      <c r="C142" s="88"/>
      <c r="D142" s="260" t="s">
        <v>724</v>
      </c>
      <c r="E142" s="243"/>
      <c r="F142" s="513" t="s">
        <v>765</v>
      </c>
      <c r="G142" s="243"/>
      <c r="H142" s="262">
        <v>0</v>
      </c>
      <c r="I142" s="243"/>
      <c r="J142" s="262">
        <v>0</v>
      </c>
      <c r="K142" s="88"/>
      <c r="L142" s="143">
        <f t="shared" si="27"/>
        <v>0</v>
      </c>
      <c r="N142" s="81"/>
      <c r="R142" s="79" t="str">
        <f t="shared" si="28"/>
        <v>NOT</v>
      </c>
      <c r="S142" s="79" t="str">
        <f t="shared" si="29"/>
        <v>NOT</v>
      </c>
      <c r="T142" s="79" t="str">
        <f t="shared" si="30"/>
        <v>NOT</v>
      </c>
      <c r="V142" s="79" t="str">
        <f t="shared" si="31"/>
        <v xml:space="preserve">1. </v>
      </c>
    </row>
    <row r="143" spans="1:22" x14ac:dyDescent="0.2">
      <c r="B143" s="259"/>
      <c r="C143" s="88"/>
      <c r="D143" s="260"/>
      <c r="E143" s="243"/>
      <c r="F143" s="261"/>
      <c r="G143" s="243"/>
      <c r="H143" s="262"/>
      <c r="I143" s="243"/>
      <c r="J143" s="262"/>
      <c r="K143" s="88"/>
      <c r="L143" s="143">
        <f t="shared" si="27"/>
        <v>0</v>
      </c>
      <c r="N143" s="81"/>
      <c r="R143" s="79" t="str">
        <f t="shared" si="28"/>
        <v>NOT</v>
      </c>
      <c r="S143" s="79" t="str">
        <f t="shared" si="29"/>
        <v>NOT</v>
      </c>
      <c r="T143" s="79" t="str">
        <f t="shared" si="30"/>
        <v>NOT</v>
      </c>
      <c r="V143" s="79" t="str">
        <f t="shared" si="31"/>
        <v/>
      </c>
    </row>
    <row r="144" spans="1:22" x14ac:dyDescent="0.2">
      <c r="B144" s="259"/>
      <c r="C144" s="88"/>
      <c r="D144" s="260"/>
      <c r="E144" s="243"/>
      <c r="F144" s="261"/>
      <c r="G144" s="243"/>
      <c r="H144" s="262"/>
      <c r="I144" s="243"/>
      <c r="J144" s="262"/>
      <c r="K144" s="88"/>
      <c r="L144" s="143">
        <f t="shared" si="27"/>
        <v>0</v>
      </c>
      <c r="N144" s="81"/>
      <c r="R144" s="79" t="str">
        <f t="shared" si="28"/>
        <v>NOT</v>
      </c>
      <c r="S144" s="79" t="str">
        <f t="shared" si="29"/>
        <v>NOT</v>
      </c>
      <c r="T144" s="79" t="str">
        <f t="shared" si="30"/>
        <v>NOT</v>
      </c>
      <c r="V144" s="79" t="str">
        <f t="shared" si="31"/>
        <v/>
      </c>
    </row>
    <row r="145" spans="1:22" x14ac:dyDescent="0.2">
      <c r="B145" s="259"/>
      <c r="C145" s="88"/>
      <c r="D145" s="260"/>
      <c r="E145" s="243"/>
      <c r="F145" s="261"/>
      <c r="G145" s="243"/>
      <c r="H145" s="262"/>
      <c r="I145" s="243"/>
      <c r="J145" s="262"/>
      <c r="K145" s="88"/>
      <c r="L145" s="143">
        <f t="shared" si="27"/>
        <v>0</v>
      </c>
      <c r="N145" s="81"/>
      <c r="R145" s="79" t="str">
        <f t="shared" si="28"/>
        <v>NOT</v>
      </c>
      <c r="S145" s="79" t="str">
        <f t="shared" si="29"/>
        <v>NOT</v>
      </c>
      <c r="T145" s="79" t="str">
        <f t="shared" si="30"/>
        <v>NOT</v>
      </c>
      <c r="V145" s="79" t="str">
        <f t="shared" ref="V145:V160" si="32">LEFT(D145,3)</f>
        <v/>
      </c>
    </row>
    <row r="146" spans="1:22" x14ac:dyDescent="0.2">
      <c r="B146" s="259"/>
      <c r="C146" s="88"/>
      <c r="D146" s="260"/>
      <c r="E146" s="243"/>
      <c r="F146" s="261"/>
      <c r="G146" s="243"/>
      <c r="H146" s="262"/>
      <c r="I146" s="243"/>
      <c r="J146" s="262"/>
      <c r="K146" s="88"/>
      <c r="L146" s="143">
        <f t="shared" si="27"/>
        <v>0</v>
      </c>
      <c r="N146" s="81"/>
      <c r="R146" s="79" t="str">
        <f t="shared" si="28"/>
        <v>NOT</v>
      </c>
      <c r="S146" s="79" t="str">
        <f t="shared" si="29"/>
        <v>NOT</v>
      </c>
      <c r="T146" s="79" t="str">
        <f t="shared" si="30"/>
        <v>NOT</v>
      </c>
      <c r="V146" s="79" t="str">
        <f t="shared" si="32"/>
        <v/>
      </c>
    </row>
    <row r="147" spans="1:22" s="76" customFormat="1" x14ac:dyDescent="0.2">
      <c r="A147" s="87"/>
      <c r="B147" s="88"/>
      <c r="C147" s="88"/>
      <c r="D147" s="70"/>
      <c r="E147" s="70"/>
      <c r="F147" s="70"/>
      <c r="G147" s="70"/>
      <c r="H147" s="70"/>
      <c r="I147" s="70"/>
      <c r="J147" s="70"/>
      <c r="K147" s="88"/>
      <c r="L147" s="70"/>
      <c r="M147" s="70"/>
      <c r="N147" s="70"/>
      <c r="O147" s="89"/>
      <c r="V147" s="79"/>
    </row>
    <row r="148" spans="1:22" ht="28.5" customHeight="1" x14ac:dyDescent="0.2">
      <c r="A148" s="276"/>
      <c r="B148" s="278" t="s">
        <v>293</v>
      </c>
      <c r="C148" s="277"/>
      <c r="D148" s="747" t="s">
        <v>166</v>
      </c>
      <c r="E148" s="748"/>
      <c r="F148" s="748"/>
      <c r="G148" s="748"/>
      <c r="H148" s="748"/>
      <c r="I148" s="279"/>
      <c r="J148" s="280" t="s">
        <v>18</v>
      </c>
      <c r="K148" s="88"/>
      <c r="L148" s="156">
        <f>SUM(L155:L160)</f>
        <v>26000</v>
      </c>
      <c r="M148" s="246"/>
      <c r="N148" s="147">
        <f>IF(L148=0,0%,L148/L$8)</f>
        <v>6.2714450253571405E-2</v>
      </c>
      <c r="O148" s="495">
        <f>IF(LEN(R148)&gt;3,1,0)</f>
        <v>0</v>
      </c>
      <c r="R148" s="79" t="str">
        <f>IF(AND(R154="NOT",S154="NOT",T154="NOT"),"NOT",D148)</f>
        <v>NOT</v>
      </c>
    </row>
    <row r="149" spans="1:22" s="76" customFormat="1" ht="3" customHeight="1" x14ac:dyDescent="0.2">
      <c r="A149" s="87"/>
      <c r="B149" s="788"/>
      <c r="C149" s="789"/>
      <c r="D149" s="789"/>
      <c r="E149" s="789"/>
      <c r="F149" s="789"/>
      <c r="G149" s="789"/>
      <c r="H149" s="789"/>
      <c r="I149" s="789"/>
      <c r="J149" s="789"/>
      <c r="K149" s="789"/>
      <c r="L149" s="789"/>
      <c r="M149" s="70"/>
      <c r="N149" s="70"/>
      <c r="O149" s="353"/>
      <c r="P149" s="270"/>
      <c r="Q149" s="231">
        <f>IF(N148&gt;O149,B149,"")</f>
        <v>0</v>
      </c>
      <c r="V149" s="79"/>
    </row>
    <row r="150" spans="1:22" x14ac:dyDescent="0.2">
      <c r="B150" s="742" t="s">
        <v>197</v>
      </c>
      <c r="C150" s="743"/>
      <c r="D150" s="743"/>
      <c r="E150" s="743"/>
      <c r="F150" s="743"/>
      <c r="H150" s="81"/>
      <c r="J150" s="81"/>
      <c r="K150" s="88"/>
      <c r="L150" s="81"/>
      <c r="N150" s="227"/>
      <c r="R150" s="79" t="str">
        <f>IF(AND(($L148&gt;0),ISBLANK(B152)),B150,"NOT")</f>
        <v>NOT</v>
      </c>
    </row>
    <row r="151" spans="1:22" ht="3" customHeight="1" x14ac:dyDescent="0.2">
      <c r="B151" s="104"/>
      <c r="C151" s="88"/>
      <c r="D151" s="81"/>
      <c r="F151" s="81"/>
      <c r="H151" s="81"/>
      <c r="J151" s="81"/>
      <c r="K151" s="88"/>
      <c r="L151" s="81"/>
      <c r="N151" s="227"/>
    </row>
    <row r="152" spans="1:22" ht="60" customHeight="1" x14ac:dyDescent="0.2">
      <c r="B152" s="782" t="s">
        <v>878</v>
      </c>
      <c r="C152" s="745"/>
      <c r="D152" s="745"/>
      <c r="E152" s="745"/>
      <c r="F152" s="745"/>
      <c r="G152" s="745"/>
      <c r="H152" s="745"/>
      <c r="I152" s="745"/>
      <c r="J152" s="745"/>
      <c r="K152" s="745"/>
      <c r="L152" s="746"/>
      <c r="M152" s="70" t="s">
        <v>19</v>
      </c>
      <c r="N152" s="227"/>
    </row>
    <row r="153" spans="1:22" ht="3.75" customHeight="1" x14ac:dyDescent="0.2">
      <c r="B153" s="104"/>
      <c r="C153" s="88"/>
      <c r="D153" s="81"/>
      <c r="F153" s="81"/>
      <c r="H153" s="81"/>
      <c r="J153" s="81"/>
      <c r="K153" s="88"/>
      <c r="L153" s="81"/>
      <c r="N153" s="227"/>
    </row>
    <row r="154" spans="1:22" ht="25.5" x14ac:dyDescent="0.2">
      <c r="B154" s="244" t="s">
        <v>202</v>
      </c>
      <c r="C154" s="88"/>
      <c r="D154" s="244" t="s">
        <v>580</v>
      </c>
      <c r="F154" s="244" t="s">
        <v>205</v>
      </c>
      <c r="H154" s="244" t="s">
        <v>16</v>
      </c>
      <c r="J154" s="244" t="s">
        <v>15</v>
      </c>
      <c r="K154" s="245"/>
      <c r="L154" s="103" t="s">
        <v>141</v>
      </c>
      <c r="N154" s="81"/>
      <c r="R154" s="255" t="str">
        <f>IF(AND(R155="NOT",R156="NOT",R157="NOT",R158="NOT",R159="NOT",R160="NOT",R150="NOT"),"NOT",D148)</f>
        <v>NOT</v>
      </c>
      <c r="S154" s="255" t="str">
        <f>IF(AND(S155="NOT",S156="NOT",S157="NOT",S158="NOT",S159="NOT",S160="NOT",R150="NOT"),"NOT",D148)</f>
        <v>NOT</v>
      </c>
      <c r="T154" s="255" t="str">
        <f>IF(AND(T155="NOT",T156="NOT",T157="NOT",T158="NOT",T159="NOT",T160="NOT",R150="NOT"),"NOT",D148)</f>
        <v>NOT</v>
      </c>
    </row>
    <row r="155" spans="1:22" ht="25.5" x14ac:dyDescent="0.2">
      <c r="B155" s="536" t="s">
        <v>1057</v>
      </c>
      <c r="C155" s="88"/>
      <c r="D155" s="260" t="s">
        <v>724</v>
      </c>
      <c r="E155" s="243"/>
      <c r="F155" s="513" t="s">
        <v>764</v>
      </c>
      <c r="G155" s="243"/>
      <c r="H155" s="262">
        <v>1</v>
      </c>
      <c r="I155" s="243"/>
      <c r="J155" s="262">
        <v>22000</v>
      </c>
      <c r="K155" s="88"/>
      <c r="L155" s="143">
        <f t="shared" ref="L155:L160" si="33">TRUNC(H155*J155,2)</f>
        <v>22000</v>
      </c>
      <c r="N155" s="81"/>
      <c r="R155" s="79" t="str">
        <f t="shared" ref="R155:R160" si="34">IF(AND(($L155&gt;0),ISBLANK(B155)),B155,"NOT")</f>
        <v>NOT</v>
      </c>
      <c r="S155" s="79" t="str">
        <f t="shared" ref="S155:S160" si="35">IF(AND(($L155&gt;0),ISBLANK(D155)),D155,"NOT")</f>
        <v>NOT</v>
      </c>
      <c r="T155" s="79" t="str">
        <f t="shared" ref="T155:T160" si="36">IF(AND(($L155&gt;0),ISBLANK(F155)),F155,"NOT")</f>
        <v>NOT</v>
      </c>
      <c r="V155" s="79" t="str">
        <f t="shared" si="32"/>
        <v xml:space="preserve">1. </v>
      </c>
    </row>
    <row r="156" spans="1:22" ht="25.5" x14ac:dyDescent="0.2">
      <c r="B156" s="536" t="s">
        <v>1059</v>
      </c>
      <c r="C156" s="88"/>
      <c r="D156" s="260" t="s">
        <v>894</v>
      </c>
      <c r="E156" s="243"/>
      <c r="F156" s="513" t="s">
        <v>764</v>
      </c>
      <c r="G156" s="243"/>
      <c r="H156" s="262">
        <v>1</v>
      </c>
      <c r="I156" s="243"/>
      <c r="J156" s="262">
        <v>4000</v>
      </c>
      <c r="K156" s="88"/>
      <c r="L156" s="143">
        <f t="shared" si="33"/>
        <v>4000</v>
      </c>
      <c r="N156" s="81"/>
      <c r="R156" s="79" t="str">
        <f t="shared" si="34"/>
        <v>NOT</v>
      </c>
      <c r="S156" s="79" t="str">
        <f t="shared" si="35"/>
        <v>NOT</v>
      </c>
      <c r="T156" s="79" t="str">
        <f t="shared" si="36"/>
        <v>NOT</v>
      </c>
      <c r="V156" s="79" t="str">
        <f t="shared" si="32"/>
        <v>11.</v>
      </c>
    </row>
    <row r="157" spans="1:22" x14ac:dyDescent="0.2">
      <c r="B157" s="512"/>
      <c r="C157" s="88"/>
      <c r="D157" s="514"/>
      <c r="E157" s="243"/>
      <c r="F157" s="513"/>
      <c r="G157" s="243"/>
      <c r="H157" s="262"/>
      <c r="I157" s="243"/>
      <c r="J157" s="262"/>
      <c r="K157" s="88"/>
      <c r="L157" s="143">
        <f t="shared" si="33"/>
        <v>0</v>
      </c>
      <c r="N157" s="81"/>
      <c r="R157" s="79" t="str">
        <f t="shared" si="34"/>
        <v>NOT</v>
      </c>
      <c r="S157" s="79" t="str">
        <f t="shared" si="35"/>
        <v>NOT</v>
      </c>
      <c r="T157" s="79" t="str">
        <f t="shared" si="36"/>
        <v>NOT</v>
      </c>
      <c r="V157" s="79" t="str">
        <f t="shared" si="32"/>
        <v/>
      </c>
    </row>
    <row r="158" spans="1:22" x14ac:dyDescent="0.2">
      <c r="B158" s="259"/>
      <c r="C158" s="88"/>
      <c r="D158" s="260"/>
      <c r="E158" s="243"/>
      <c r="F158" s="261"/>
      <c r="G158" s="243"/>
      <c r="H158" s="262"/>
      <c r="I158" s="243"/>
      <c r="J158" s="262"/>
      <c r="K158" s="88"/>
      <c r="L158" s="143">
        <f t="shared" si="33"/>
        <v>0</v>
      </c>
      <c r="N158" s="81"/>
      <c r="R158" s="79" t="str">
        <f t="shared" si="34"/>
        <v>NOT</v>
      </c>
      <c r="S158" s="79" t="str">
        <f t="shared" si="35"/>
        <v>NOT</v>
      </c>
      <c r="T158" s="79" t="str">
        <f t="shared" si="36"/>
        <v>NOT</v>
      </c>
      <c r="V158" s="79" t="str">
        <f t="shared" si="32"/>
        <v/>
      </c>
    </row>
    <row r="159" spans="1:22" x14ac:dyDescent="0.2">
      <c r="B159" s="259"/>
      <c r="C159" s="88"/>
      <c r="D159" s="260"/>
      <c r="E159" s="243"/>
      <c r="F159" s="261"/>
      <c r="G159" s="243"/>
      <c r="H159" s="262"/>
      <c r="I159" s="243"/>
      <c r="J159" s="262"/>
      <c r="K159" s="88"/>
      <c r="L159" s="143">
        <f t="shared" si="33"/>
        <v>0</v>
      </c>
      <c r="N159" s="81"/>
      <c r="R159" s="79" t="str">
        <f t="shared" si="34"/>
        <v>NOT</v>
      </c>
      <c r="S159" s="79" t="str">
        <f t="shared" si="35"/>
        <v>NOT</v>
      </c>
      <c r="T159" s="79" t="str">
        <f t="shared" si="36"/>
        <v>NOT</v>
      </c>
      <c r="V159" s="79" t="str">
        <f t="shared" si="32"/>
        <v/>
      </c>
    </row>
    <row r="160" spans="1:22" x14ac:dyDescent="0.2">
      <c r="B160" s="259"/>
      <c r="C160" s="88"/>
      <c r="D160" s="260"/>
      <c r="E160" s="243"/>
      <c r="F160" s="261"/>
      <c r="G160" s="243"/>
      <c r="H160" s="262"/>
      <c r="I160" s="243"/>
      <c r="J160" s="262"/>
      <c r="K160" s="88"/>
      <c r="L160" s="143">
        <f t="shared" si="33"/>
        <v>0</v>
      </c>
      <c r="N160" s="81"/>
      <c r="R160" s="79" t="str">
        <f t="shared" si="34"/>
        <v>NOT</v>
      </c>
      <c r="S160" s="79" t="str">
        <f t="shared" si="35"/>
        <v>NOT</v>
      </c>
      <c r="T160" s="79" t="str">
        <f t="shared" si="36"/>
        <v>NOT</v>
      </c>
      <c r="V160" s="79" t="str">
        <f t="shared" si="32"/>
        <v/>
      </c>
    </row>
    <row r="161" spans="1:22" s="76" customFormat="1" ht="12.75" customHeight="1" x14ac:dyDescent="0.2">
      <c r="A161" s="87"/>
      <c r="B161" s="88"/>
      <c r="C161" s="88"/>
      <c r="D161" s="70"/>
      <c r="E161" s="70"/>
      <c r="F161" s="70"/>
      <c r="G161" s="70"/>
      <c r="H161" s="70"/>
      <c r="I161" s="70"/>
      <c r="J161" s="70"/>
      <c r="K161" s="88"/>
      <c r="L161" s="70"/>
      <c r="M161" s="70"/>
      <c r="N161" s="70"/>
      <c r="O161" s="89"/>
      <c r="V161" s="79"/>
    </row>
    <row r="162" spans="1:22" ht="28.5" customHeight="1" x14ac:dyDescent="0.2">
      <c r="A162" s="276"/>
      <c r="B162" s="278" t="s">
        <v>294</v>
      </c>
      <c r="C162" s="277"/>
      <c r="D162" s="747" t="s">
        <v>166</v>
      </c>
      <c r="E162" s="748"/>
      <c r="F162" s="748"/>
      <c r="G162" s="748"/>
      <c r="H162" s="748"/>
      <c r="I162" s="279"/>
      <c r="J162" s="280" t="s">
        <v>18</v>
      </c>
      <c r="K162" s="88"/>
      <c r="L162" s="156">
        <f>SUM(L169:L172)</f>
        <v>2500</v>
      </c>
      <c r="M162" s="246"/>
      <c r="N162" s="147">
        <f>IF(L162=0,0%,L162/L$8)</f>
        <v>6.0302356013049426E-3</v>
      </c>
      <c r="O162" s="495">
        <f>IF(LEN(R162)&gt;3,1,0)</f>
        <v>0</v>
      </c>
      <c r="R162" s="79" t="str">
        <f>IF(AND(R168="NOT",S168="NOT",T168="NOT"),"NOT",D162)</f>
        <v>NOT</v>
      </c>
    </row>
    <row r="163" spans="1:22" s="76" customFormat="1" ht="3" customHeight="1" x14ac:dyDescent="0.2">
      <c r="A163" s="87"/>
      <c r="B163" s="88"/>
      <c r="C163" s="88"/>
      <c r="D163" s="70"/>
      <c r="E163" s="70"/>
      <c r="F163" s="70"/>
      <c r="G163" s="70"/>
      <c r="H163" s="70"/>
      <c r="I163" s="70"/>
      <c r="J163" s="70"/>
      <c r="K163" s="88"/>
      <c r="L163" s="70"/>
      <c r="M163" s="70"/>
      <c r="N163" s="70"/>
      <c r="O163" s="89"/>
      <c r="V163" s="79"/>
    </row>
    <row r="164" spans="1:22" x14ac:dyDescent="0.2">
      <c r="B164" s="742" t="s">
        <v>197</v>
      </c>
      <c r="C164" s="743"/>
      <c r="D164" s="743"/>
      <c r="E164" s="743"/>
      <c r="F164" s="743"/>
      <c r="H164" s="81"/>
      <c r="J164" s="81"/>
      <c r="K164" s="88"/>
      <c r="L164" s="81"/>
      <c r="N164" s="227"/>
      <c r="R164" s="79" t="str">
        <f>IF(AND(($L162&gt;0),ISBLANK(B166)),B164,"NOT")</f>
        <v>NOT</v>
      </c>
    </row>
    <row r="165" spans="1:22" ht="3" customHeight="1" x14ac:dyDescent="0.2">
      <c r="B165" s="104"/>
      <c r="C165" s="88"/>
      <c r="D165" s="81"/>
      <c r="F165" s="81"/>
      <c r="H165" s="81"/>
      <c r="J165" s="81"/>
      <c r="K165" s="88"/>
      <c r="L165" s="81"/>
      <c r="N165" s="227"/>
    </row>
    <row r="166" spans="1:22" ht="50.25" customHeight="1" x14ac:dyDescent="0.2">
      <c r="B166" s="782" t="s">
        <v>879</v>
      </c>
      <c r="C166" s="745"/>
      <c r="D166" s="745"/>
      <c r="E166" s="745"/>
      <c r="F166" s="745"/>
      <c r="G166" s="745"/>
      <c r="H166" s="745"/>
      <c r="I166" s="745"/>
      <c r="J166" s="745"/>
      <c r="K166" s="745"/>
      <c r="L166" s="746"/>
      <c r="M166" s="70" t="s">
        <v>19</v>
      </c>
      <c r="N166" s="227"/>
    </row>
    <row r="167" spans="1:22" ht="3.75" customHeight="1" x14ac:dyDescent="0.2">
      <c r="B167" s="104"/>
      <c r="C167" s="88"/>
      <c r="D167" s="81"/>
      <c r="F167" s="81"/>
      <c r="H167" s="81"/>
      <c r="J167" s="81"/>
      <c r="K167" s="88"/>
      <c r="L167" s="81"/>
      <c r="N167" s="227"/>
    </row>
    <row r="168" spans="1:22" ht="12.75" customHeight="1" x14ac:dyDescent="0.2">
      <c r="B168" s="244" t="s">
        <v>17</v>
      </c>
      <c r="C168" s="88"/>
      <c r="D168" s="244" t="s">
        <v>580</v>
      </c>
      <c r="F168" s="244" t="s">
        <v>205</v>
      </c>
      <c r="H168" s="244" t="s">
        <v>16</v>
      </c>
      <c r="J168" s="244" t="s">
        <v>15</v>
      </c>
      <c r="K168" s="245"/>
      <c r="L168" s="103" t="s">
        <v>141</v>
      </c>
      <c r="N168" s="81"/>
      <c r="R168" s="255" t="str">
        <f>IF(AND(R169="NOT",R170="NOT",R171="NOT",R172="NOT",R164="NOT"),"NOT",D162)</f>
        <v>NOT</v>
      </c>
      <c r="S168" s="255" t="str">
        <f>IF(AND(S169="NOT",S170="NOT",S171="NOT",S172="NOT",R164="NOT"),"NOT",D162)</f>
        <v>NOT</v>
      </c>
      <c r="T168" s="255" t="str">
        <f>IF(AND(T169="NOT",T170="NOT",T171="NOT",T172="NOT",R164="NOT"),"NOT",D162)</f>
        <v>NOT</v>
      </c>
    </row>
    <row r="169" spans="1:22" x14ac:dyDescent="0.2">
      <c r="B169" s="512"/>
      <c r="C169" s="88"/>
      <c r="D169" s="260"/>
      <c r="E169" s="243"/>
      <c r="F169" s="513"/>
      <c r="G169" s="243"/>
      <c r="H169" s="262"/>
      <c r="I169" s="243"/>
      <c r="J169" s="262"/>
      <c r="K169" s="88"/>
      <c r="L169" s="143">
        <f>TRUNC(H169*J169,2)</f>
        <v>0</v>
      </c>
      <c r="N169" s="81"/>
      <c r="R169" s="79" t="str">
        <f>IF(AND(($L169&gt;0),ISBLANK(B169)),B169,"NOT")</f>
        <v>NOT</v>
      </c>
      <c r="S169" s="79" t="str">
        <f>IF(AND(($L169&gt;0),ISBLANK(D169)),D169,"NOT")</f>
        <v>NOT</v>
      </c>
      <c r="T169" s="79" t="str">
        <f>IF(AND(($L169&gt;0),ISBLANK(F169)),F169,"NOT")</f>
        <v>NOT</v>
      </c>
      <c r="V169" s="79" t="str">
        <f>LEFT(D169,3)</f>
        <v/>
      </c>
    </row>
    <row r="170" spans="1:22" ht="25.5" x14ac:dyDescent="0.2">
      <c r="B170" s="512" t="s">
        <v>734</v>
      </c>
      <c r="C170" s="88"/>
      <c r="D170" s="260" t="s">
        <v>894</v>
      </c>
      <c r="E170" s="243"/>
      <c r="F170" s="513" t="s">
        <v>764</v>
      </c>
      <c r="G170" s="243"/>
      <c r="H170" s="262">
        <v>1</v>
      </c>
      <c r="I170" s="243"/>
      <c r="J170" s="262">
        <v>2500</v>
      </c>
      <c r="K170" s="88"/>
      <c r="L170" s="143">
        <f>TRUNC(H170*J170,2)</f>
        <v>2500</v>
      </c>
      <c r="N170" s="81"/>
      <c r="R170" s="79" t="str">
        <f>IF(AND(($L170&gt;0),ISBLANK(B170)),B170,"NOT")</f>
        <v>NOT</v>
      </c>
      <c r="S170" s="79" t="str">
        <f>IF(AND(($L170&gt;0),ISBLANK(D170)),D170,"NOT")</f>
        <v>NOT</v>
      </c>
      <c r="T170" s="79" t="str">
        <f>IF(AND(($L170&gt;0),ISBLANK(F170)),F170,"NOT")</f>
        <v>NOT</v>
      </c>
      <c r="V170" s="79" t="str">
        <f>LEFT(D170,3)</f>
        <v>11.</v>
      </c>
    </row>
    <row r="171" spans="1:22" x14ac:dyDescent="0.2">
      <c r="B171" s="259"/>
      <c r="C171" s="88"/>
      <c r="D171" s="260"/>
      <c r="E171" s="243"/>
      <c r="F171" s="261"/>
      <c r="G171" s="243"/>
      <c r="H171" s="262"/>
      <c r="I171" s="243"/>
      <c r="J171" s="262"/>
      <c r="K171" s="88"/>
      <c r="L171" s="143">
        <f>TRUNC(H171*J171,2)</f>
        <v>0</v>
      </c>
      <c r="N171" s="81"/>
      <c r="R171" s="79" t="str">
        <f>IF(AND(($L171&gt;0),ISBLANK(B171)),B171,"NOT")</f>
        <v>NOT</v>
      </c>
      <c r="S171" s="79" t="str">
        <f>IF(AND(($L171&gt;0),ISBLANK(D171)),D171,"NOT")</f>
        <v>NOT</v>
      </c>
      <c r="T171" s="79" t="str">
        <f>IF(AND(($L171&gt;0),ISBLANK(F171)),F171,"NOT")</f>
        <v>NOT</v>
      </c>
      <c r="V171" s="79" t="str">
        <f>LEFT(D171,3)</f>
        <v/>
      </c>
    </row>
    <row r="172" spans="1:22" x14ac:dyDescent="0.2">
      <c r="B172" s="259"/>
      <c r="C172" s="88"/>
      <c r="D172" s="260"/>
      <c r="E172" s="243"/>
      <c r="F172" s="261"/>
      <c r="G172" s="243"/>
      <c r="H172" s="262"/>
      <c r="I172" s="243"/>
      <c r="J172" s="262"/>
      <c r="K172" s="88"/>
      <c r="L172" s="143">
        <f>TRUNC(H172*J172,2)</f>
        <v>0</v>
      </c>
      <c r="N172" s="81"/>
      <c r="R172" s="79" t="str">
        <f>IF(AND(($L172&gt;0),ISBLANK(B172)),B172,"NOT")</f>
        <v>NOT</v>
      </c>
      <c r="S172" s="79" t="str">
        <f>IF(AND(($L172&gt;0),ISBLANK(D172)),D172,"NOT")</f>
        <v>NOT</v>
      </c>
      <c r="T172" s="79" t="str">
        <f>IF(AND(($L172&gt;0),ISBLANK(F172)),F172,"NOT")</f>
        <v>NOT</v>
      </c>
      <c r="V172" s="79" t="str">
        <f>LEFT(D172,3)</f>
        <v/>
      </c>
    </row>
    <row r="173" spans="1:22" s="76" customFormat="1" ht="12.75" customHeight="1" x14ac:dyDescent="0.2">
      <c r="A173" s="87"/>
      <c r="B173" s="88"/>
      <c r="C173" s="88"/>
      <c r="D173" s="70"/>
      <c r="E173" s="70"/>
      <c r="F173" s="70"/>
      <c r="G173" s="70"/>
      <c r="H173" s="70"/>
      <c r="I173" s="70"/>
      <c r="J173" s="70"/>
      <c r="K173" s="88"/>
      <c r="L173" s="70"/>
      <c r="M173" s="70"/>
      <c r="N173" s="70"/>
      <c r="O173" s="89"/>
      <c r="V173" s="79"/>
    </row>
    <row r="174" spans="1:22" ht="25.5" x14ac:dyDescent="0.2">
      <c r="A174" s="276"/>
      <c r="B174" s="278" t="s">
        <v>296</v>
      </c>
      <c r="C174" s="277"/>
      <c r="D174" s="747" t="s">
        <v>166</v>
      </c>
      <c r="E174" s="748"/>
      <c r="F174" s="748"/>
      <c r="G174" s="748"/>
      <c r="H174" s="748"/>
      <c r="I174" s="279"/>
      <c r="J174" s="280" t="s">
        <v>18</v>
      </c>
      <c r="K174" s="88"/>
      <c r="L174" s="156">
        <f>SUM(L181:L190)</f>
        <v>28787</v>
      </c>
      <c r="M174" s="246"/>
      <c r="N174" s="147">
        <f>IF(L174=0,0%,L174/L$8)</f>
        <v>6.9436956901906155E-2</v>
      </c>
      <c r="O174" s="495">
        <f>IF(LEN(R174)&gt;3,1,0)</f>
        <v>0</v>
      </c>
      <c r="R174" s="79" t="str">
        <f>IF(AND(R180="NOT",S180="NOT",T180="NOT"),"NOT",D174)</f>
        <v>NOT</v>
      </c>
    </row>
    <row r="175" spans="1:22" s="76" customFormat="1" ht="3" customHeight="1" x14ac:dyDescent="0.2">
      <c r="A175" s="87"/>
      <c r="B175" s="88"/>
      <c r="C175" s="88"/>
      <c r="D175" s="70"/>
      <c r="E175" s="70"/>
      <c r="F175" s="70"/>
      <c r="G175" s="70"/>
      <c r="H175" s="70"/>
      <c r="I175" s="70"/>
      <c r="J175" s="70"/>
      <c r="K175" s="88"/>
      <c r="L175" s="70"/>
      <c r="M175" s="70"/>
      <c r="N175" s="70"/>
      <c r="O175" s="89"/>
      <c r="V175" s="79"/>
    </row>
    <row r="176" spans="1:22" ht="27.75" customHeight="1" x14ac:dyDescent="0.2">
      <c r="B176" s="749" t="s">
        <v>38</v>
      </c>
      <c r="C176" s="750"/>
      <c r="D176" s="750"/>
      <c r="E176" s="750"/>
      <c r="F176" s="750"/>
      <c r="H176" s="81"/>
      <c r="J176" s="81"/>
      <c r="K176" s="88"/>
      <c r="L176" s="81"/>
      <c r="N176" s="227"/>
      <c r="R176" s="79" t="str">
        <f>IF(AND(($L174&gt;0),ISBLANK(B178)),B176,"NOT")</f>
        <v>NOT</v>
      </c>
    </row>
    <row r="177" spans="1:22" ht="3" customHeight="1" x14ac:dyDescent="0.2">
      <c r="B177" s="104"/>
      <c r="C177" s="88"/>
      <c r="D177" s="81"/>
      <c r="F177" s="81"/>
      <c r="H177" s="81"/>
      <c r="J177" s="81"/>
      <c r="K177" s="88"/>
      <c r="L177" s="81"/>
      <c r="N177" s="227"/>
    </row>
    <row r="178" spans="1:22" ht="81" customHeight="1" x14ac:dyDescent="0.2">
      <c r="B178" s="763" t="s">
        <v>880</v>
      </c>
      <c r="C178" s="745"/>
      <c r="D178" s="745"/>
      <c r="E178" s="745"/>
      <c r="F178" s="745"/>
      <c r="G178" s="745"/>
      <c r="H178" s="745"/>
      <c r="I178" s="745"/>
      <c r="J178" s="745"/>
      <c r="K178" s="745"/>
      <c r="L178" s="746"/>
      <c r="M178" s="70" t="s">
        <v>19</v>
      </c>
      <c r="N178" s="227"/>
    </row>
    <row r="179" spans="1:22" ht="3.75" customHeight="1" x14ac:dyDescent="0.2">
      <c r="B179" s="104"/>
      <c r="C179" s="88"/>
      <c r="D179" s="81"/>
      <c r="F179" s="81"/>
      <c r="H179" s="81"/>
      <c r="J179" s="81"/>
      <c r="K179" s="88"/>
      <c r="L179" s="81"/>
      <c r="N179" s="227"/>
    </row>
    <row r="180" spans="1:22" ht="38.25" x14ac:dyDescent="0.2">
      <c r="B180" s="244" t="s">
        <v>23</v>
      </c>
      <c r="C180" s="88"/>
      <c r="D180" s="244" t="s">
        <v>580</v>
      </c>
      <c r="F180" s="244" t="s">
        <v>205</v>
      </c>
      <c r="H180" s="244" t="s">
        <v>16</v>
      </c>
      <c r="J180" s="244" t="s">
        <v>15</v>
      </c>
      <c r="K180" s="245"/>
      <c r="L180" s="103" t="s">
        <v>141</v>
      </c>
      <c r="N180" s="81"/>
      <c r="R180" s="255" t="str">
        <f>IF(AND(R181="NOT",R182="NOT",R183="NOT",R184="NOT",R185="NOT",R186="NOT",R187="NOT",R188="NOT",R189="NOT",R190="NOT",R176="NOT"),"NOT",D174)</f>
        <v>NOT</v>
      </c>
      <c r="S180" s="255" t="str">
        <f>IF(AND(S181="NOT",S182="NOT",S183="NOT",S184="NOT",S185="NOT",S186="NOT",S187="NOT",S188="NOT",S189="NOT",S190="NOT",R176="NOT"),"NOT",D174)</f>
        <v>NOT</v>
      </c>
      <c r="T180" s="255" t="str">
        <f>IF(AND(T181="NOT",T182="NOT",T183="NOT",T184="NOT",T185="NOT",T186="NOT",T187="NOT",T188="NOT",T189="NOT",T190="NOT",R176="NOT"),"NOT",D174)</f>
        <v>NOT</v>
      </c>
    </row>
    <row r="181" spans="1:22" ht="38.25" x14ac:dyDescent="0.2">
      <c r="B181" s="512" t="s">
        <v>738</v>
      </c>
      <c r="C181" s="88"/>
      <c r="D181" s="260" t="s">
        <v>735</v>
      </c>
      <c r="E181" s="243"/>
      <c r="F181" s="513" t="s">
        <v>771</v>
      </c>
      <c r="G181" s="243"/>
      <c r="H181" s="262">
        <v>3000</v>
      </c>
      <c r="I181" s="243"/>
      <c r="J181" s="262">
        <v>0.8</v>
      </c>
      <c r="K181" s="88"/>
      <c r="L181" s="143">
        <f t="shared" ref="L181:L190" si="37">TRUNC(H181*J181,2)</f>
        <v>2400</v>
      </c>
      <c r="N181" s="81"/>
      <c r="R181" s="79" t="str">
        <f t="shared" ref="R181:R190" si="38">IF(AND(($L181&gt;0),ISBLANK(B181)),B181,"NOT")</f>
        <v>NOT</v>
      </c>
      <c r="S181" s="79" t="str">
        <f t="shared" ref="S181:S190" si="39">IF(AND(($L181&gt;0),ISBLANK(D181)),D181,"NOT")</f>
        <v>NOT</v>
      </c>
      <c r="T181" s="79" t="str">
        <f t="shared" ref="T181:T190" si="40">IF(AND(($L181&gt;0),ISBLANK(F181)),F181,"NOT")</f>
        <v>NOT</v>
      </c>
      <c r="V181" s="79" t="str">
        <f t="shared" ref="V181:V190" si="41">LEFT(D181,3)</f>
        <v xml:space="preserve">2. </v>
      </c>
    </row>
    <row r="182" spans="1:22" ht="63.75" x14ac:dyDescent="0.2">
      <c r="B182" s="512" t="s">
        <v>737</v>
      </c>
      <c r="C182" s="88"/>
      <c r="D182" s="260" t="s">
        <v>735</v>
      </c>
      <c r="E182" s="243"/>
      <c r="F182" s="513" t="s">
        <v>771</v>
      </c>
      <c r="G182" s="243"/>
      <c r="H182" s="262">
        <f>3*100+3*100*2</f>
        <v>900</v>
      </c>
      <c r="I182" s="243"/>
      <c r="J182" s="543">
        <v>3.33</v>
      </c>
      <c r="K182" s="88"/>
      <c r="L182" s="143">
        <f t="shared" si="37"/>
        <v>2997</v>
      </c>
      <c r="N182" s="81"/>
      <c r="R182" s="79" t="str">
        <f t="shared" si="38"/>
        <v>NOT</v>
      </c>
      <c r="S182" s="79" t="str">
        <f t="shared" si="39"/>
        <v>NOT</v>
      </c>
      <c r="T182" s="79" t="str">
        <f t="shared" si="40"/>
        <v>NOT</v>
      </c>
      <c r="V182" s="79" t="str">
        <f t="shared" si="41"/>
        <v xml:space="preserve">2. </v>
      </c>
    </row>
    <row r="183" spans="1:22" ht="25.5" x14ac:dyDescent="0.2">
      <c r="B183" s="512" t="s">
        <v>736</v>
      </c>
      <c r="C183" s="88"/>
      <c r="D183" s="260" t="s">
        <v>735</v>
      </c>
      <c r="E183" s="243"/>
      <c r="F183" s="513" t="s">
        <v>771</v>
      </c>
      <c r="G183" s="243"/>
      <c r="H183" s="262">
        <v>3</v>
      </c>
      <c r="I183" s="243"/>
      <c r="J183" s="543">
        <v>130</v>
      </c>
      <c r="K183" s="88"/>
      <c r="L183" s="143">
        <f t="shared" si="37"/>
        <v>390</v>
      </c>
      <c r="N183" s="81"/>
      <c r="R183" s="79" t="str">
        <f t="shared" si="38"/>
        <v>NOT</v>
      </c>
      <c r="S183" s="79" t="str">
        <f t="shared" si="39"/>
        <v>NOT</v>
      </c>
      <c r="T183" s="79" t="str">
        <f t="shared" si="40"/>
        <v>NOT</v>
      </c>
      <c r="V183" s="79" t="str">
        <f t="shared" si="41"/>
        <v xml:space="preserve">2. </v>
      </c>
    </row>
    <row r="184" spans="1:22" ht="38.25" x14ac:dyDescent="0.2">
      <c r="B184" s="512" t="s">
        <v>739</v>
      </c>
      <c r="C184" s="88"/>
      <c r="D184" s="260" t="s">
        <v>735</v>
      </c>
      <c r="E184" s="243"/>
      <c r="F184" s="513" t="s">
        <v>764</v>
      </c>
      <c r="G184" s="243"/>
      <c r="H184" s="262">
        <v>1</v>
      </c>
      <c r="I184" s="243"/>
      <c r="J184" s="262">
        <v>16000</v>
      </c>
      <c r="K184" s="88"/>
      <c r="L184" s="143">
        <f t="shared" si="37"/>
        <v>16000</v>
      </c>
      <c r="N184" s="81"/>
      <c r="R184" s="79" t="str">
        <f t="shared" si="38"/>
        <v>NOT</v>
      </c>
      <c r="S184" s="79" t="str">
        <f t="shared" si="39"/>
        <v>NOT</v>
      </c>
      <c r="T184" s="79" t="str">
        <f t="shared" si="40"/>
        <v>NOT</v>
      </c>
      <c r="V184" s="79" t="str">
        <f t="shared" si="41"/>
        <v xml:space="preserve">2. </v>
      </c>
    </row>
    <row r="185" spans="1:22" x14ac:dyDescent="0.2">
      <c r="B185" s="512" t="s">
        <v>740</v>
      </c>
      <c r="C185" s="88"/>
      <c r="D185" s="260" t="s">
        <v>735</v>
      </c>
      <c r="E185" s="243"/>
      <c r="F185" s="513" t="s">
        <v>772</v>
      </c>
      <c r="G185" s="243"/>
      <c r="H185" s="262">
        <v>2</v>
      </c>
      <c r="I185" s="243"/>
      <c r="J185" s="262">
        <v>150</v>
      </c>
      <c r="K185" s="88"/>
      <c r="L185" s="143">
        <f t="shared" si="37"/>
        <v>300</v>
      </c>
      <c r="N185" s="81"/>
      <c r="R185" s="79" t="str">
        <f t="shared" si="38"/>
        <v>NOT</v>
      </c>
      <c r="S185" s="79" t="str">
        <f t="shared" si="39"/>
        <v>NOT</v>
      </c>
      <c r="T185" s="79" t="str">
        <f t="shared" si="40"/>
        <v>NOT</v>
      </c>
      <c r="V185" s="79" t="str">
        <f t="shared" si="41"/>
        <v xml:space="preserve">2. </v>
      </c>
    </row>
    <row r="186" spans="1:22" x14ac:dyDescent="0.2">
      <c r="B186" s="536" t="s">
        <v>1058</v>
      </c>
      <c r="C186" s="88"/>
      <c r="D186" s="260" t="s">
        <v>735</v>
      </c>
      <c r="E186" s="243"/>
      <c r="F186" s="513" t="s">
        <v>764</v>
      </c>
      <c r="G186" s="243"/>
      <c r="H186" s="262">
        <v>1</v>
      </c>
      <c r="I186" s="243"/>
      <c r="J186" s="262">
        <v>6200</v>
      </c>
      <c r="K186" s="88"/>
      <c r="L186" s="143">
        <f t="shared" si="37"/>
        <v>6200</v>
      </c>
      <c r="N186" s="81"/>
      <c r="R186" s="79" t="str">
        <f t="shared" si="38"/>
        <v>NOT</v>
      </c>
      <c r="S186" s="79" t="str">
        <f t="shared" si="39"/>
        <v>NOT</v>
      </c>
      <c r="T186" s="79" t="str">
        <f t="shared" si="40"/>
        <v>NOT</v>
      </c>
      <c r="V186" s="79" t="str">
        <f t="shared" si="41"/>
        <v xml:space="preserve">2. </v>
      </c>
    </row>
    <row r="187" spans="1:22" ht="25.5" x14ac:dyDescent="0.2">
      <c r="B187" s="512" t="s">
        <v>769</v>
      </c>
      <c r="C187" s="88"/>
      <c r="D187" s="260" t="s">
        <v>735</v>
      </c>
      <c r="E187" s="243"/>
      <c r="F187" s="513" t="s">
        <v>771</v>
      </c>
      <c r="G187" s="243"/>
      <c r="H187" s="262">
        <v>1</v>
      </c>
      <c r="I187" s="243"/>
      <c r="J187" s="543">
        <v>400</v>
      </c>
      <c r="K187" s="88"/>
      <c r="L187" s="143">
        <f t="shared" si="37"/>
        <v>400</v>
      </c>
      <c r="N187" s="81"/>
      <c r="R187" s="79" t="str">
        <f t="shared" si="38"/>
        <v>NOT</v>
      </c>
      <c r="S187" s="79" t="str">
        <f t="shared" si="39"/>
        <v>NOT</v>
      </c>
      <c r="T187" s="79" t="str">
        <f t="shared" si="40"/>
        <v>NOT</v>
      </c>
      <c r="V187" s="79" t="str">
        <f t="shared" si="41"/>
        <v xml:space="preserve">2. </v>
      </c>
    </row>
    <row r="188" spans="1:22" ht="25.5" x14ac:dyDescent="0.2">
      <c r="B188" s="512" t="s">
        <v>770</v>
      </c>
      <c r="C188" s="88"/>
      <c r="D188" s="260" t="s">
        <v>735</v>
      </c>
      <c r="E188" s="243"/>
      <c r="F188" s="513" t="s">
        <v>771</v>
      </c>
      <c r="G188" s="243"/>
      <c r="H188" s="262">
        <v>1</v>
      </c>
      <c r="I188" s="243"/>
      <c r="J188" s="262">
        <v>100</v>
      </c>
      <c r="K188" s="88"/>
      <c r="L188" s="143">
        <f t="shared" si="37"/>
        <v>100</v>
      </c>
      <c r="N188" s="81"/>
      <c r="R188" s="79" t="str">
        <f t="shared" si="38"/>
        <v>NOT</v>
      </c>
      <c r="S188" s="79" t="str">
        <f t="shared" si="39"/>
        <v>NOT</v>
      </c>
      <c r="T188" s="79" t="str">
        <f t="shared" si="40"/>
        <v>NOT</v>
      </c>
      <c r="V188" s="79" t="str">
        <f t="shared" si="41"/>
        <v xml:space="preserve">2. </v>
      </c>
    </row>
    <row r="189" spans="1:22" x14ac:dyDescent="0.2">
      <c r="B189" s="259"/>
      <c r="C189" s="88"/>
      <c r="D189" s="260"/>
      <c r="E189" s="243"/>
      <c r="F189" s="261"/>
      <c r="G189" s="243"/>
      <c r="H189" s="262"/>
      <c r="I189" s="243"/>
      <c r="J189" s="262"/>
      <c r="K189" s="88"/>
      <c r="L189" s="143">
        <f t="shared" si="37"/>
        <v>0</v>
      </c>
      <c r="N189" s="81"/>
      <c r="R189" s="79" t="str">
        <f t="shared" si="38"/>
        <v>NOT</v>
      </c>
      <c r="S189" s="79" t="str">
        <f t="shared" si="39"/>
        <v>NOT</v>
      </c>
      <c r="T189" s="79" t="str">
        <f t="shared" si="40"/>
        <v>NOT</v>
      </c>
      <c r="V189" s="79" t="str">
        <f t="shared" si="41"/>
        <v/>
      </c>
    </row>
    <row r="190" spans="1:22" x14ac:dyDescent="0.2">
      <c r="B190" s="259"/>
      <c r="C190" s="88"/>
      <c r="D190" s="260"/>
      <c r="E190" s="243"/>
      <c r="F190" s="261"/>
      <c r="G190" s="243"/>
      <c r="H190" s="262"/>
      <c r="I190" s="243"/>
      <c r="J190" s="262"/>
      <c r="K190" s="88"/>
      <c r="L190" s="143">
        <f t="shared" si="37"/>
        <v>0</v>
      </c>
      <c r="N190" s="81"/>
      <c r="R190" s="79" t="str">
        <f t="shared" si="38"/>
        <v>NOT</v>
      </c>
      <c r="S190" s="79" t="str">
        <f t="shared" si="39"/>
        <v>NOT</v>
      </c>
      <c r="T190" s="79" t="str">
        <f t="shared" si="40"/>
        <v>NOT</v>
      </c>
      <c r="V190" s="79" t="str">
        <f t="shared" si="41"/>
        <v/>
      </c>
    </row>
    <row r="191" spans="1:22" x14ac:dyDescent="0.2">
      <c r="B191" s="104"/>
      <c r="C191" s="88"/>
      <c r="D191" s="81"/>
      <c r="F191" s="81"/>
      <c r="H191" s="81"/>
      <c r="J191" s="81"/>
      <c r="K191" s="88"/>
      <c r="L191" s="81"/>
      <c r="N191" s="227"/>
    </row>
    <row r="192" spans="1:22" ht="13.5" customHeight="1" x14ac:dyDescent="0.2">
      <c r="A192" s="276"/>
      <c r="B192" s="278" t="s">
        <v>297</v>
      </c>
      <c r="C192" s="277"/>
      <c r="D192" s="747" t="s">
        <v>166</v>
      </c>
      <c r="E192" s="748"/>
      <c r="F192" s="748"/>
      <c r="G192" s="748"/>
      <c r="H192" s="748"/>
      <c r="I192" s="279"/>
      <c r="J192" s="280" t="s">
        <v>18</v>
      </c>
      <c r="K192" s="88"/>
      <c r="L192" s="156">
        <f>SUM(L199:L203)</f>
        <v>10760</v>
      </c>
      <c r="M192" s="246"/>
      <c r="N192" s="147">
        <f>IF(L192=0,0%,L192/L$8)</f>
        <v>2.5954134028016475E-2</v>
      </c>
      <c r="O192" s="495">
        <f>IF(LEN(R192)&gt;3,1,0)</f>
        <v>0</v>
      </c>
      <c r="R192" s="79" t="str">
        <f>IF(AND(R198="NOT",S198="NOT",T198="NOT"),"NOT",D192)</f>
        <v>NOT</v>
      </c>
    </row>
    <row r="193" spans="1:22" s="76" customFormat="1" ht="3" customHeight="1" x14ac:dyDescent="0.2">
      <c r="A193" s="87"/>
      <c r="B193" s="88"/>
      <c r="C193" s="88"/>
      <c r="D193" s="70"/>
      <c r="E193" s="70"/>
      <c r="F193" s="70"/>
      <c r="G193" s="70"/>
      <c r="H193" s="70"/>
      <c r="I193" s="70"/>
      <c r="J193" s="70"/>
      <c r="K193" s="88"/>
      <c r="L193" s="70"/>
      <c r="M193" s="70"/>
      <c r="N193" s="70"/>
      <c r="O193" s="89"/>
      <c r="V193" s="79"/>
    </row>
    <row r="194" spans="1:22" ht="25.5" customHeight="1" x14ac:dyDescent="0.2">
      <c r="B194" s="749" t="s">
        <v>646</v>
      </c>
      <c r="C194" s="750"/>
      <c r="D194" s="750"/>
      <c r="E194" s="750"/>
      <c r="F194" s="750"/>
      <c r="H194" s="81"/>
      <c r="J194" s="81"/>
      <c r="K194" s="88"/>
      <c r="L194" s="81"/>
      <c r="N194" s="227"/>
      <c r="R194" s="79" t="str">
        <f>IF(AND(($L192&gt;0),ISBLANK(B196)),B194,"NOT")</f>
        <v>NOT</v>
      </c>
    </row>
    <row r="195" spans="1:22" ht="3" customHeight="1" x14ac:dyDescent="0.2">
      <c r="B195" s="104"/>
      <c r="C195" s="88"/>
      <c r="D195" s="81"/>
      <c r="F195" s="81"/>
      <c r="H195" s="81"/>
      <c r="J195" s="81"/>
      <c r="K195" s="88"/>
      <c r="L195" s="81"/>
      <c r="N195" s="227"/>
    </row>
    <row r="196" spans="1:22" ht="60.75" customHeight="1" x14ac:dyDescent="0.2">
      <c r="B196" s="782" t="s">
        <v>881</v>
      </c>
      <c r="C196" s="745"/>
      <c r="D196" s="745"/>
      <c r="E196" s="745"/>
      <c r="F196" s="745"/>
      <c r="G196" s="745"/>
      <c r="H196" s="745"/>
      <c r="I196" s="745"/>
      <c r="J196" s="745"/>
      <c r="K196" s="745"/>
      <c r="L196" s="746"/>
      <c r="M196" s="70" t="s">
        <v>19</v>
      </c>
      <c r="N196" s="227"/>
    </row>
    <row r="197" spans="1:22" ht="3.75" customHeight="1" x14ac:dyDescent="0.2">
      <c r="B197" s="104"/>
      <c r="C197" s="88"/>
      <c r="D197" s="81"/>
      <c r="F197" s="81"/>
      <c r="H197" s="81"/>
      <c r="J197" s="81"/>
      <c r="K197" s="88"/>
      <c r="L197" s="81"/>
      <c r="N197" s="227"/>
    </row>
    <row r="198" spans="1:22" ht="12.75" customHeight="1" x14ac:dyDescent="0.2">
      <c r="B198" s="244" t="s">
        <v>17</v>
      </c>
      <c r="C198" s="88"/>
      <c r="D198" s="244" t="s">
        <v>580</v>
      </c>
      <c r="F198" s="244" t="s">
        <v>205</v>
      </c>
      <c r="H198" s="244" t="s">
        <v>16</v>
      </c>
      <c r="J198" s="244" t="s">
        <v>15</v>
      </c>
      <c r="K198" s="245"/>
      <c r="L198" s="103" t="s">
        <v>141</v>
      </c>
      <c r="N198" s="81"/>
      <c r="R198" s="255" t="str">
        <f>IF(AND(R199="NOT",R200="NOT",R201="NOT",R202="NOT",R203="NOT",R194="NOT"),"NOT",D192)</f>
        <v>NOT</v>
      </c>
      <c r="S198" s="255" t="str">
        <f>IF(AND(S199="NOT",S200="NOT",S201="NOT",S202="NOT",S203="NOT",R194="NOT"),"NOT",D192)</f>
        <v>NOT</v>
      </c>
      <c r="T198" s="255" t="str">
        <f>IF(AND(T199="NOT",T200="NOT",T201="NOT",T202="NOT",T203="NOT",R194="NOT"),"NOT",D192)</f>
        <v>NOT</v>
      </c>
    </row>
    <row r="199" spans="1:22" ht="51" x14ac:dyDescent="0.2">
      <c r="B199" s="526" t="s">
        <v>1060</v>
      </c>
      <c r="C199" s="88"/>
      <c r="D199" s="260" t="s">
        <v>895</v>
      </c>
      <c r="E199" s="243"/>
      <c r="F199" s="513" t="s">
        <v>764</v>
      </c>
      <c r="G199" s="243"/>
      <c r="H199" s="262">
        <v>1</v>
      </c>
      <c r="I199" s="243"/>
      <c r="J199" s="262">
        <v>3100</v>
      </c>
      <c r="K199" s="88"/>
      <c r="L199" s="143">
        <f>TRUNC(H199*J199,2)</f>
        <v>3100</v>
      </c>
      <c r="N199" s="81"/>
      <c r="R199" s="79" t="str">
        <f>IF(AND(($L199&gt;0),ISBLANK(B199)),B199,"NOT")</f>
        <v>NOT</v>
      </c>
      <c r="S199" s="79" t="str">
        <f>IF(AND(($L199&gt;0),ISBLANK(D199)),D199,"NOT")</f>
        <v>NOT</v>
      </c>
      <c r="T199" s="79" t="str">
        <f>IF(AND(($L199&gt;0),ISBLANK(F199)),F199,"NOT")</f>
        <v>NOT</v>
      </c>
      <c r="V199" s="79" t="str">
        <f>LEFT(D199,3)</f>
        <v>14.</v>
      </c>
    </row>
    <row r="200" spans="1:22" ht="51" x14ac:dyDescent="0.2">
      <c r="B200" s="544" t="s">
        <v>773</v>
      </c>
      <c r="C200" s="88"/>
      <c r="D200" s="260" t="s">
        <v>895</v>
      </c>
      <c r="E200" s="243"/>
      <c r="F200" s="513" t="s">
        <v>764</v>
      </c>
      <c r="G200" s="243"/>
      <c r="H200" s="262">
        <v>0</v>
      </c>
      <c r="I200" s="243"/>
      <c r="J200" s="559">
        <v>15500</v>
      </c>
      <c r="K200" s="88"/>
      <c r="L200" s="143">
        <f>TRUNC(H200*J200,2)</f>
        <v>0</v>
      </c>
      <c r="N200" s="81"/>
      <c r="R200" s="79" t="str">
        <f>IF(AND(($L200&gt;0),ISBLANK(B200)),B200,"NOT")</f>
        <v>NOT</v>
      </c>
      <c r="S200" s="79" t="str">
        <f>IF(AND(($L200&gt;0),ISBLANK(D200)),D200,"NOT")</f>
        <v>NOT</v>
      </c>
      <c r="T200" s="79" t="str">
        <f>IF(AND(($L200&gt;0),ISBLANK(F200)),F200,"NOT")</f>
        <v>NOT</v>
      </c>
      <c r="V200" s="79" t="str">
        <f t="shared" ref="V200:V203" si="42">LEFT(D200,3)</f>
        <v>14.</v>
      </c>
    </row>
    <row r="201" spans="1:22" ht="51" x14ac:dyDescent="0.2">
      <c r="B201" s="544" t="s">
        <v>774</v>
      </c>
      <c r="C201" s="88"/>
      <c r="D201" s="260" t="s">
        <v>895</v>
      </c>
      <c r="E201" s="243"/>
      <c r="F201" s="513" t="s">
        <v>764</v>
      </c>
      <c r="G201" s="243"/>
      <c r="H201" s="262">
        <v>0</v>
      </c>
      <c r="I201" s="243"/>
      <c r="J201" s="559">
        <v>2400</v>
      </c>
      <c r="K201" s="88"/>
      <c r="L201" s="143">
        <f>TRUNC(H201*J201,2)</f>
        <v>0</v>
      </c>
      <c r="N201" s="81"/>
      <c r="R201" s="79" t="str">
        <f>IF(AND(($L201&gt;0),ISBLANK(B201)),B201,"NOT")</f>
        <v>NOT</v>
      </c>
      <c r="S201" s="79" t="str">
        <f>IF(AND(($L201&gt;0),ISBLANK(D201)),D201,"NOT")</f>
        <v>NOT</v>
      </c>
      <c r="T201" s="79" t="str">
        <f>IF(AND(($L201&gt;0),ISBLANK(F201)),F201,"NOT")</f>
        <v>NOT</v>
      </c>
      <c r="V201" s="79" t="str">
        <f t="shared" si="42"/>
        <v>14.</v>
      </c>
    </row>
    <row r="202" spans="1:22" ht="51" x14ac:dyDescent="0.2">
      <c r="B202" s="544" t="s">
        <v>775</v>
      </c>
      <c r="C202" s="88"/>
      <c r="D202" s="260" t="s">
        <v>895</v>
      </c>
      <c r="E202" s="243"/>
      <c r="F202" s="513" t="s">
        <v>764</v>
      </c>
      <c r="G202" s="243"/>
      <c r="H202" s="262">
        <v>0</v>
      </c>
      <c r="I202" s="243"/>
      <c r="J202" s="559">
        <v>2200</v>
      </c>
      <c r="K202" s="88"/>
      <c r="L202" s="143">
        <f>TRUNC(H202*J202,2)</f>
        <v>0</v>
      </c>
      <c r="N202" s="81"/>
      <c r="R202" s="79" t="str">
        <f>IF(AND(($L202&gt;0),ISBLANK(B202)),B202,"NOT")</f>
        <v>NOT</v>
      </c>
      <c r="S202" s="79" t="str">
        <f>IF(AND(($L202&gt;0),ISBLANK(D202)),D202,"NOT")</f>
        <v>NOT</v>
      </c>
      <c r="T202" s="79" t="str">
        <f>IF(AND(($L202&gt;0),ISBLANK(F202)),F202,"NOT")</f>
        <v>NOT</v>
      </c>
      <c r="V202" s="79" t="str">
        <f t="shared" si="42"/>
        <v>14.</v>
      </c>
    </row>
    <row r="203" spans="1:22" ht="51" x14ac:dyDescent="0.2">
      <c r="B203" s="512" t="s">
        <v>776</v>
      </c>
      <c r="C203" s="88"/>
      <c r="D203" s="260" t="s">
        <v>895</v>
      </c>
      <c r="E203" s="243"/>
      <c r="F203" s="513" t="s">
        <v>764</v>
      </c>
      <c r="G203" s="243"/>
      <c r="H203" s="262">
        <v>1</v>
      </c>
      <c r="I203" s="243"/>
      <c r="J203" s="543">
        <v>7660</v>
      </c>
      <c r="K203" s="88"/>
      <c r="L203" s="143">
        <f>TRUNC(H203*J203,2)</f>
        <v>7660</v>
      </c>
      <c r="N203" s="81"/>
      <c r="R203" s="79" t="str">
        <f>IF(AND(($L203&gt;0),ISBLANK(B203)),B203,"NOT")</f>
        <v>NOT</v>
      </c>
      <c r="S203" s="79" t="str">
        <f>IF(AND(($L203&gt;0),ISBLANK(D203)),D203,"NOT")</f>
        <v>NOT</v>
      </c>
      <c r="T203" s="79" t="str">
        <f>IF(AND(($L203&gt;0),ISBLANK(F203)),F203,"NOT")</f>
        <v>NOT</v>
      </c>
      <c r="V203" s="79" t="str">
        <f t="shared" si="42"/>
        <v>14.</v>
      </c>
    </row>
    <row r="204" spans="1:22" x14ac:dyDescent="0.2">
      <c r="B204" s="104"/>
      <c r="C204" s="88"/>
      <c r="D204" s="81"/>
      <c r="F204" s="81"/>
      <c r="H204" s="81"/>
      <c r="J204" s="81"/>
      <c r="K204" s="88"/>
      <c r="L204" s="81"/>
      <c r="N204" s="227"/>
    </row>
    <row r="205" spans="1:22" x14ac:dyDescent="0.2">
      <c r="B205" s="104"/>
      <c r="C205" s="88"/>
      <c r="D205" s="81"/>
      <c r="F205" s="81"/>
      <c r="H205" s="81"/>
      <c r="J205" s="81"/>
      <c r="K205" s="88"/>
      <c r="L205" s="81"/>
      <c r="N205" s="227"/>
    </row>
    <row r="206" spans="1:22" ht="27" customHeight="1" x14ac:dyDescent="0.2">
      <c r="A206" s="247">
        <v>6</v>
      </c>
      <c r="B206" s="248" t="s">
        <v>298</v>
      </c>
      <c r="C206" s="249"/>
      <c r="D206" s="760"/>
      <c r="E206" s="761"/>
      <c r="F206" s="761"/>
      <c r="G206" s="761"/>
      <c r="H206" s="762"/>
      <c r="I206" s="250"/>
      <c r="J206" s="251" t="s">
        <v>18</v>
      </c>
      <c r="K206" s="249"/>
      <c r="L206" s="252">
        <f>L208+L226</f>
        <v>53095.5</v>
      </c>
      <c r="M206" s="250"/>
      <c r="N206" s="253">
        <f>IF(L206=0,0%,L206/L$8)</f>
        <v>0.12807134974763465</v>
      </c>
      <c r="O206" s="94"/>
      <c r="P206" s="95"/>
      <c r="Q206" s="79" t="e">
        <f>IF(AND(R227=#REF!,#REF!&gt;#REF!),D206,0)</f>
        <v>#REF!</v>
      </c>
      <c r="R206" s="79" t="e">
        <f>IF(AND(R227=#REF!,#REF!&gt;#REF!),D206,0)</f>
        <v>#REF!</v>
      </c>
      <c r="S206" s="79">
        <f>IF('9. Project budget summary'!T41&gt;0,('9. Project budget summary'!T37+'9. Project budget summary'!T33)/'9. Project budget summary'!T41,0)</f>
        <v>0.67187048492599999</v>
      </c>
      <c r="T206" s="231" t="s">
        <v>172</v>
      </c>
      <c r="U206" s="320" t="s">
        <v>183</v>
      </c>
      <c r="V206" s="271">
        <v>0.7</v>
      </c>
    </row>
    <row r="207" spans="1:22" s="76" customFormat="1" ht="7.5" customHeight="1" x14ac:dyDescent="0.2">
      <c r="A207" s="87"/>
      <c r="B207" s="88"/>
      <c r="C207" s="88"/>
      <c r="D207" s="70"/>
      <c r="E207" s="70"/>
      <c r="F207" s="70"/>
      <c r="G207" s="70"/>
      <c r="H207" s="70"/>
      <c r="I207" s="70"/>
      <c r="J207" s="70"/>
      <c r="K207" s="88"/>
      <c r="L207" s="70"/>
      <c r="M207" s="70"/>
      <c r="N207" s="70"/>
      <c r="O207" s="89"/>
      <c r="V207" s="79"/>
    </row>
    <row r="208" spans="1:22" ht="13.5" customHeight="1" x14ac:dyDescent="0.2">
      <c r="A208" s="276"/>
      <c r="B208" s="278" t="s">
        <v>301</v>
      </c>
      <c r="C208" s="277"/>
      <c r="D208" s="747" t="s">
        <v>166</v>
      </c>
      <c r="E208" s="748"/>
      <c r="F208" s="748"/>
      <c r="G208" s="748"/>
      <c r="H208" s="748"/>
      <c r="I208" s="279"/>
      <c r="J208" s="280" t="s">
        <v>18</v>
      </c>
      <c r="K208" s="88"/>
      <c r="L208" s="156">
        <f>SUM(L215:L224)</f>
        <v>52095.5</v>
      </c>
      <c r="M208" s="246"/>
      <c r="N208" s="147">
        <f>IF(L208=0,0%,L208/L$8)</f>
        <v>0.12565925550711265</v>
      </c>
      <c r="O208" s="495">
        <f>IF(LEN(R208)&gt;3,1,0)</f>
        <v>0</v>
      </c>
      <c r="R208" s="79" t="str">
        <f>IF(AND(R214="NOT",S214="NOT",T214="NOT"),"NOT",D208)</f>
        <v>NOT</v>
      </c>
    </row>
    <row r="209" spans="1:22" s="76" customFormat="1" ht="3" customHeight="1" x14ac:dyDescent="0.2">
      <c r="A209" s="87"/>
      <c r="B209" s="88"/>
      <c r="C209" s="88"/>
      <c r="D209" s="70"/>
      <c r="E209" s="70"/>
      <c r="F209" s="70"/>
      <c r="G209" s="70"/>
      <c r="H209" s="70"/>
      <c r="I209" s="70"/>
      <c r="J209" s="70"/>
      <c r="K209" s="88"/>
      <c r="L209" s="70"/>
      <c r="M209" s="70"/>
      <c r="N209" s="70"/>
      <c r="O209" s="89"/>
      <c r="V209" s="79"/>
    </row>
    <row r="210" spans="1:22" ht="24.75" customHeight="1" x14ac:dyDescent="0.2">
      <c r="B210" s="749" t="s">
        <v>203</v>
      </c>
      <c r="C210" s="750"/>
      <c r="D210" s="750"/>
      <c r="E210" s="750"/>
      <c r="F210" s="750"/>
      <c r="H210" s="81"/>
      <c r="J210" s="81"/>
      <c r="K210" s="88"/>
      <c r="L210" s="81"/>
      <c r="N210" s="227"/>
      <c r="R210" s="79" t="str">
        <f>IF(AND(($L208&gt;0),ISBLANK(B212)),B210,"NOT")</f>
        <v>NOT</v>
      </c>
    </row>
    <row r="211" spans="1:22" ht="3" customHeight="1" x14ac:dyDescent="0.2">
      <c r="B211" s="104"/>
      <c r="C211" s="88"/>
      <c r="D211" s="81"/>
      <c r="F211" s="81"/>
      <c r="H211" s="81"/>
      <c r="J211" s="81"/>
      <c r="K211" s="88"/>
      <c r="L211" s="81"/>
      <c r="N211" s="227"/>
    </row>
    <row r="212" spans="1:22" ht="90" customHeight="1" x14ac:dyDescent="0.2">
      <c r="B212" s="763" t="s">
        <v>905</v>
      </c>
      <c r="C212" s="745"/>
      <c r="D212" s="745"/>
      <c r="E212" s="745"/>
      <c r="F212" s="745"/>
      <c r="G212" s="745"/>
      <c r="H212" s="745"/>
      <c r="I212" s="745"/>
      <c r="J212" s="745"/>
      <c r="K212" s="745"/>
      <c r="L212" s="746"/>
      <c r="M212" s="70" t="s">
        <v>19</v>
      </c>
      <c r="N212" s="227"/>
    </row>
    <row r="213" spans="1:22" ht="3.75" customHeight="1" x14ac:dyDescent="0.2">
      <c r="B213" s="104"/>
      <c r="C213" s="88"/>
      <c r="D213" s="81"/>
      <c r="F213" s="81"/>
      <c r="H213" s="81"/>
      <c r="J213" s="81"/>
      <c r="K213" s="88"/>
      <c r="L213" s="81"/>
      <c r="N213" s="227"/>
    </row>
    <row r="214" spans="1:22" ht="38.25" x14ac:dyDescent="0.2">
      <c r="B214" s="244" t="s">
        <v>204</v>
      </c>
      <c r="C214" s="88"/>
      <c r="D214" s="244" t="s">
        <v>580</v>
      </c>
      <c r="F214" s="244" t="s">
        <v>205</v>
      </c>
      <c r="H214" s="244" t="s">
        <v>16</v>
      </c>
      <c r="J214" s="244" t="s">
        <v>15</v>
      </c>
      <c r="K214" s="245"/>
      <c r="L214" s="103" t="s">
        <v>141</v>
      </c>
      <c r="N214" s="81"/>
      <c r="R214" s="255" t="str">
        <f>IF(AND(R215="NOT",R216="NOT",R217="NOT",R218="NOT",R219="NOT",R220="NOT",R221="NOT",R222="NOT",R223="NOT",R224="NOT",R210="NOT"),"NOT",D208)</f>
        <v>NOT</v>
      </c>
      <c r="S214" s="255" t="str">
        <f>IF(AND(S215="NOT",S216="NOT",S217="NOT",S218="NOT",S219="NOT",S220="NOT",S221="NOT",S222="NOT",S223="NOT",S224="NOT",R210="NOT"),"NOT",D208)</f>
        <v>NOT</v>
      </c>
      <c r="T214" s="255" t="str">
        <f>IF(AND(T215="NOT",T216="NOT",T217="NOT",T218="NOT",T219="NOT",T220="NOT",T221="NOT",T222="NOT",T223="NOT",T224="NOT",R210="NOT"),"NOT",D208)</f>
        <v>NOT</v>
      </c>
    </row>
    <row r="215" spans="1:22" ht="38.25" x14ac:dyDescent="0.2">
      <c r="B215" s="512" t="s">
        <v>777</v>
      </c>
      <c r="C215" s="88"/>
      <c r="D215" s="260" t="s">
        <v>894</v>
      </c>
      <c r="E215" s="243"/>
      <c r="F215" s="513" t="s">
        <v>764</v>
      </c>
      <c r="G215" s="243"/>
      <c r="H215" s="262">
        <v>1</v>
      </c>
      <c r="I215" s="243"/>
      <c r="J215" s="543">
        <v>7595.5</v>
      </c>
      <c r="K215" s="88"/>
      <c r="L215" s="143">
        <f t="shared" ref="L215:L224" si="43">TRUNC(H215*J215,2)</f>
        <v>7595.5</v>
      </c>
      <c r="N215" s="81"/>
      <c r="R215" s="79" t="str">
        <f t="shared" ref="R215:R224" si="44">IF(AND(($L215&gt;0),ISBLANK(B215)),B215,"NOT")</f>
        <v>NOT</v>
      </c>
      <c r="S215" s="79" t="str">
        <f t="shared" ref="S215:S224" si="45">IF(AND(($L215&gt;0),ISBLANK(D215)),D215,"NOT")</f>
        <v>NOT</v>
      </c>
      <c r="T215" s="79" t="str">
        <f t="shared" ref="T215:T224" si="46">IF(AND(($L215&gt;0),ISBLANK(F215)),F215,"NOT")</f>
        <v>NOT</v>
      </c>
      <c r="V215" s="79" t="str">
        <f t="shared" ref="V215:V224" si="47">LEFT(D215,3)</f>
        <v>11.</v>
      </c>
    </row>
    <row r="216" spans="1:22" ht="38.25" x14ac:dyDescent="0.2">
      <c r="B216" s="512" t="s">
        <v>778</v>
      </c>
      <c r="C216" s="88"/>
      <c r="D216" s="260" t="s">
        <v>894</v>
      </c>
      <c r="E216" s="243"/>
      <c r="F216" s="513" t="s">
        <v>764</v>
      </c>
      <c r="G216" s="243"/>
      <c r="H216" s="262">
        <v>4</v>
      </c>
      <c r="I216" s="243"/>
      <c r="J216" s="262">
        <v>650</v>
      </c>
      <c r="K216" s="88"/>
      <c r="L216" s="143">
        <f t="shared" si="43"/>
        <v>2600</v>
      </c>
      <c r="N216" s="81"/>
      <c r="R216" s="79" t="str">
        <f t="shared" si="44"/>
        <v>NOT</v>
      </c>
      <c r="S216" s="79" t="str">
        <f t="shared" si="45"/>
        <v>NOT</v>
      </c>
      <c r="T216" s="79" t="str">
        <f t="shared" si="46"/>
        <v>NOT</v>
      </c>
      <c r="V216" s="79" t="str">
        <f t="shared" si="47"/>
        <v>11.</v>
      </c>
    </row>
    <row r="217" spans="1:22" ht="25.5" x14ac:dyDescent="0.2">
      <c r="B217" s="512" t="s">
        <v>779</v>
      </c>
      <c r="C217" s="88"/>
      <c r="D217" s="260" t="s">
        <v>894</v>
      </c>
      <c r="E217" s="243"/>
      <c r="F217" s="513" t="s">
        <v>764</v>
      </c>
      <c r="G217" s="243"/>
      <c r="H217" s="262">
        <v>1</v>
      </c>
      <c r="I217" s="243"/>
      <c r="J217" s="262">
        <v>15800</v>
      </c>
      <c r="K217" s="88"/>
      <c r="L217" s="143">
        <f t="shared" si="43"/>
        <v>15800</v>
      </c>
      <c r="N217" s="81"/>
      <c r="R217" s="79" t="str">
        <f t="shared" si="44"/>
        <v>NOT</v>
      </c>
      <c r="S217" s="79" t="str">
        <f t="shared" si="45"/>
        <v>NOT</v>
      </c>
      <c r="T217" s="79" t="str">
        <f t="shared" si="46"/>
        <v>NOT</v>
      </c>
      <c r="V217" s="79" t="str">
        <f t="shared" si="47"/>
        <v>11.</v>
      </c>
    </row>
    <row r="218" spans="1:22" ht="38.25" x14ac:dyDescent="0.2">
      <c r="B218" s="512" t="s">
        <v>780</v>
      </c>
      <c r="C218" s="88"/>
      <c r="D218" s="260" t="s">
        <v>894</v>
      </c>
      <c r="E218" s="243"/>
      <c r="F218" s="513" t="s">
        <v>764</v>
      </c>
      <c r="G218" s="243"/>
      <c r="H218" s="262">
        <v>1</v>
      </c>
      <c r="I218" s="243"/>
      <c r="J218" s="262">
        <v>3000</v>
      </c>
      <c r="K218" s="88"/>
      <c r="L218" s="143">
        <f t="shared" si="43"/>
        <v>3000</v>
      </c>
      <c r="N218" s="81"/>
      <c r="R218" s="79" t="str">
        <f t="shared" si="44"/>
        <v>NOT</v>
      </c>
      <c r="S218" s="79" t="str">
        <f t="shared" si="45"/>
        <v>NOT</v>
      </c>
      <c r="T218" s="79" t="str">
        <f t="shared" si="46"/>
        <v>NOT</v>
      </c>
      <c r="V218" s="79" t="str">
        <f t="shared" si="47"/>
        <v>11.</v>
      </c>
    </row>
    <row r="219" spans="1:22" ht="25.5" x14ac:dyDescent="0.2">
      <c r="B219" s="512" t="s">
        <v>781</v>
      </c>
      <c r="C219" s="88"/>
      <c r="D219" s="260" t="s">
        <v>894</v>
      </c>
      <c r="E219" s="243"/>
      <c r="F219" s="513" t="s">
        <v>786</v>
      </c>
      <c r="G219" s="243"/>
      <c r="H219" s="262">
        <v>30</v>
      </c>
      <c r="I219" s="243"/>
      <c r="J219" s="262">
        <v>420</v>
      </c>
      <c r="K219" s="88"/>
      <c r="L219" s="143">
        <f t="shared" si="43"/>
        <v>12600</v>
      </c>
      <c r="N219" s="81"/>
      <c r="R219" s="79" t="str">
        <f t="shared" si="44"/>
        <v>NOT</v>
      </c>
      <c r="S219" s="79" t="str">
        <f t="shared" si="45"/>
        <v>NOT</v>
      </c>
      <c r="T219" s="79" t="str">
        <f t="shared" si="46"/>
        <v>NOT</v>
      </c>
      <c r="V219" s="79" t="str">
        <f t="shared" si="47"/>
        <v>11.</v>
      </c>
    </row>
    <row r="220" spans="1:22" ht="25.5" x14ac:dyDescent="0.2">
      <c r="B220" s="512" t="s">
        <v>782</v>
      </c>
      <c r="C220" s="88"/>
      <c r="D220" s="260" t="s">
        <v>894</v>
      </c>
      <c r="E220" s="243"/>
      <c r="F220" s="513" t="s">
        <v>786</v>
      </c>
      <c r="G220" s="243"/>
      <c r="H220" s="262">
        <v>1</v>
      </c>
      <c r="I220" s="243"/>
      <c r="J220" s="262">
        <v>1000</v>
      </c>
      <c r="K220" s="88"/>
      <c r="L220" s="143">
        <f t="shared" si="43"/>
        <v>1000</v>
      </c>
      <c r="N220" s="81"/>
      <c r="R220" s="79" t="str">
        <f t="shared" si="44"/>
        <v>NOT</v>
      </c>
      <c r="S220" s="79" t="str">
        <f t="shared" si="45"/>
        <v>NOT</v>
      </c>
      <c r="T220" s="79" t="str">
        <f t="shared" si="46"/>
        <v>NOT</v>
      </c>
      <c r="V220" s="79" t="str">
        <f t="shared" si="47"/>
        <v>11.</v>
      </c>
    </row>
    <row r="221" spans="1:22" ht="25.5" x14ac:dyDescent="0.2">
      <c r="B221" s="512" t="s">
        <v>783</v>
      </c>
      <c r="C221" s="88"/>
      <c r="D221" s="260" t="s">
        <v>894</v>
      </c>
      <c r="E221" s="243"/>
      <c r="F221" s="513" t="s">
        <v>764</v>
      </c>
      <c r="G221" s="243"/>
      <c r="H221" s="262">
        <v>1</v>
      </c>
      <c r="I221" s="243"/>
      <c r="J221" s="262">
        <v>1700</v>
      </c>
      <c r="K221" s="88"/>
      <c r="L221" s="143">
        <f t="shared" si="43"/>
        <v>1700</v>
      </c>
      <c r="N221" s="81"/>
      <c r="R221" s="79" t="str">
        <f t="shared" si="44"/>
        <v>NOT</v>
      </c>
      <c r="S221" s="79" t="str">
        <f t="shared" si="45"/>
        <v>NOT</v>
      </c>
      <c r="T221" s="79" t="str">
        <f t="shared" si="46"/>
        <v>NOT</v>
      </c>
      <c r="V221" s="79" t="str">
        <f t="shared" si="47"/>
        <v>11.</v>
      </c>
    </row>
    <row r="222" spans="1:22" ht="25.5" x14ac:dyDescent="0.2">
      <c r="B222" s="512" t="s">
        <v>784</v>
      </c>
      <c r="C222" s="88"/>
      <c r="D222" s="260" t="s">
        <v>894</v>
      </c>
      <c r="E222" s="243"/>
      <c r="F222" s="513" t="s">
        <v>764</v>
      </c>
      <c r="G222" s="243"/>
      <c r="H222" s="262">
        <v>1</v>
      </c>
      <c r="I222" s="243"/>
      <c r="J222" s="262">
        <v>4800</v>
      </c>
      <c r="K222" s="88"/>
      <c r="L222" s="143">
        <f t="shared" si="43"/>
        <v>4800</v>
      </c>
      <c r="N222" s="81"/>
      <c r="R222" s="79" t="str">
        <f t="shared" si="44"/>
        <v>NOT</v>
      </c>
      <c r="S222" s="79" t="str">
        <f t="shared" si="45"/>
        <v>NOT</v>
      </c>
      <c r="T222" s="79" t="str">
        <f t="shared" si="46"/>
        <v>NOT</v>
      </c>
      <c r="V222" s="79" t="str">
        <f t="shared" si="47"/>
        <v>11.</v>
      </c>
    </row>
    <row r="223" spans="1:22" ht="25.5" x14ac:dyDescent="0.2">
      <c r="B223" s="512" t="s">
        <v>785</v>
      </c>
      <c r="C223" s="88"/>
      <c r="D223" s="260" t="s">
        <v>894</v>
      </c>
      <c r="E223" s="243"/>
      <c r="F223" s="513" t="s">
        <v>764</v>
      </c>
      <c r="G223" s="243"/>
      <c r="H223" s="262">
        <v>2</v>
      </c>
      <c r="I223" s="243"/>
      <c r="J223" s="262">
        <v>1500</v>
      </c>
      <c r="K223" s="88"/>
      <c r="L223" s="143">
        <f t="shared" si="43"/>
        <v>3000</v>
      </c>
      <c r="N223" s="81"/>
      <c r="R223" s="79" t="str">
        <f t="shared" si="44"/>
        <v>NOT</v>
      </c>
      <c r="S223" s="79" t="str">
        <f t="shared" si="45"/>
        <v>NOT</v>
      </c>
      <c r="T223" s="79" t="str">
        <f t="shared" si="46"/>
        <v>NOT</v>
      </c>
      <c r="V223" s="79" t="str">
        <f t="shared" si="47"/>
        <v>11.</v>
      </c>
    </row>
    <row r="224" spans="1:22" x14ac:dyDescent="0.2">
      <c r="B224" s="512"/>
      <c r="C224" s="88"/>
      <c r="D224" s="260"/>
      <c r="E224" s="243"/>
      <c r="F224" s="513"/>
      <c r="G224" s="243"/>
      <c r="H224" s="262"/>
      <c r="I224" s="243"/>
      <c r="J224" s="262"/>
      <c r="K224" s="88"/>
      <c r="L224" s="143">
        <f t="shared" si="43"/>
        <v>0</v>
      </c>
      <c r="N224" s="81"/>
      <c r="R224" s="79" t="str">
        <f t="shared" si="44"/>
        <v>NOT</v>
      </c>
      <c r="S224" s="79" t="str">
        <f t="shared" si="45"/>
        <v>NOT</v>
      </c>
      <c r="T224" s="79" t="str">
        <f t="shared" si="46"/>
        <v>NOT</v>
      </c>
      <c r="V224" s="79" t="str">
        <f t="shared" si="47"/>
        <v/>
      </c>
    </row>
    <row r="225" spans="1:22" x14ac:dyDescent="0.2">
      <c r="B225" s="104"/>
      <c r="C225" s="88"/>
      <c r="D225" s="81"/>
      <c r="F225" s="81"/>
      <c r="H225" s="81"/>
      <c r="J225" s="81"/>
      <c r="K225" s="88"/>
      <c r="L225" s="81"/>
      <c r="N225" s="227"/>
    </row>
    <row r="226" spans="1:22" ht="13.5" customHeight="1" x14ac:dyDescent="0.2">
      <c r="A226" s="276"/>
      <c r="B226" s="278" t="s">
        <v>302</v>
      </c>
      <c r="C226" s="249"/>
      <c r="D226" s="754" t="s">
        <v>300</v>
      </c>
      <c r="E226" s="755"/>
      <c r="F226" s="755"/>
      <c r="G226" s="755"/>
      <c r="H226" s="756"/>
      <c r="I226" s="250"/>
      <c r="J226" s="280" t="s">
        <v>18</v>
      </c>
      <c r="K226" s="88"/>
      <c r="L226" s="156">
        <f>IF(LEN(D1)&gt;5,1000,0)</f>
        <v>1000</v>
      </c>
      <c r="M226" s="246"/>
      <c r="N226" s="147">
        <f>IF(L226=0,0%,L226/L$8)</f>
        <v>2.4120942405219774E-3</v>
      </c>
      <c r="R226" s="79" t="e">
        <f>IF(AND(#REF!="NOT",#REF!="NOT",#REF!="NOT"),"NOT",D226)</f>
        <v>#REF!</v>
      </c>
    </row>
    <row r="227" spans="1:22" x14ac:dyDescent="0.2">
      <c r="B227" s="104"/>
      <c r="C227" s="88"/>
      <c r="D227" s="81"/>
      <c r="F227" s="81"/>
      <c r="H227" s="81"/>
      <c r="J227" s="81"/>
      <c r="K227" s="88"/>
      <c r="L227" s="81"/>
      <c r="N227" s="227"/>
      <c r="R227" s="321" t="str">
        <f>LEFT('1. General Data'!E25,5)</f>
        <v>2.1.1</v>
      </c>
      <c r="S227" s="231">
        <f>IF('9. Project budget summary'!T41&gt;0,'9. Project budget summary'!T37/'9. Project budget summary'!T41,0)</f>
        <v>0.52183891467003807</v>
      </c>
      <c r="T227" s="231" t="s">
        <v>170</v>
      </c>
      <c r="U227" s="320" t="s">
        <v>26</v>
      </c>
      <c r="V227" s="271">
        <v>0.5</v>
      </c>
    </row>
    <row r="228" spans="1:22" ht="40.5" customHeight="1" x14ac:dyDescent="0.2">
      <c r="A228" s="247">
        <v>7</v>
      </c>
      <c r="B228" s="248" t="s">
        <v>299</v>
      </c>
      <c r="C228" s="249"/>
      <c r="D228" s="317"/>
      <c r="E228" s="327"/>
      <c r="F228" s="757"/>
      <c r="G228" s="758"/>
      <c r="H228" s="759"/>
      <c r="I228" s="250"/>
      <c r="J228" s="251" t="s">
        <v>18</v>
      </c>
      <c r="K228" s="249"/>
      <c r="L228" s="252">
        <f>L230+L248</f>
        <v>248135</v>
      </c>
      <c r="M228" s="250"/>
      <c r="N228" s="253">
        <f>IF(L228=0,0%,L228/L$8)</f>
        <v>0.5985250043719208</v>
      </c>
      <c r="O228" s="94"/>
      <c r="P228" s="95"/>
      <c r="Q228" s="321" t="e">
        <f>IF(R227=#REF!,IF(#REF!&gt;#REF!,D228,0),IF(AND(OR(R227=U228,R227=#REF!,R227=U229),N228&gt;V228),D228,0))</f>
        <v>#REF!</v>
      </c>
      <c r="R228" s="321">
        <f>IF(AND(R227=U227,S227&lt;V227),F228,0)</f>
        <v>0</v>
      </c>
      <c r="S228" s="231">
        <f>IF('9. Project budget summary'!T41&gt;0,'9. Project budget summary'!T37/'9. Project budget summary'!T41,0)</f>
        <v>0.52183891467003807</v>
      </c>
      <c r="T228" s="231" t="s">
        <v>171</v>
      </c>
      <c r="U228" s="320" t="s">
        <v>32</v>
      </c>
      <c r="V228" s="271">
        <v>0.7</v>
      </c>
    </row>
    <row r="229" spans="1:22" s="76" customFormat="1" ht="7.5" customHeight="1" x14ac:dyDescent="0.2">
      <c r="A229" s="87"/>
      <c r="B229" s="88"/>
      <c r="C229" s="88"/>
      <c r="D229" s="70"/>
      <c r="E229" s="70"/>
      <c r="F229" s="70"/>
      <c r="G229" s="70"/>
      <c r="H229" s="70"/>
      <c r="I229" s="70"/>
      <c r="J229" s="70"/>
      <c r="K229" s="88"/>
      <c r="L229" s="70"/>
      <c r="M229" s="70"/>
      <c r="N229" s="70"/>
      <c r="O229" s="89"/>
      <c r="S229" s="231">
        <f>IF('9. Project budget summary'!T41&gt;0,'9. Project budget summary'!T37/'9. Project budget summary'!T41,0)</f>
        <v>0.52183891467003807</v>
      </c>
      <c r="T229" s="231" t="s">
        <v>171</v>
      </c>
      <c r="U229" s="320" t="s">
        <v>24</v>
      </c>
      <c r="V229" s="271">
        <v>0.7</v>
      </c>
    </row>
    <row r="230" spans="1:22" ht="28.5" customHeight="1" x14ac:dyDescent="0.2">
      <c r="A230" s="276"/>
      <c r="B230" s="278" t="s">
        <v>303</v>
      </c>
      <c r="C230" s="277"/>
      <c r="D230" s="747" t="s">
        <v>166</v>
      </c>
      <c r="E230" s="748"/>
      <c r="F230" s="748"/>
      <c r="G230" s="748"/>
      <c r="H230" s="748"/>
      <c r="I230" s="279"/>
      <c r="J230" s="280" t="s">
        <v>18</v>
      </c>
      <c r="K230" s="88"/>
      <c r="L230" s="156">
        <f>SUM(L237:L246)</f>
        <v>248135</v>
      </c>
      <c r="M230" s="246"/>
      <c r="N230" s="147">
        <f>IF(L230=0,0%,L230/L$8)</f>
        <v>0.5985250043719208</v>
      </c>
      <c r="O230" s="495">
        <f>IF(LEN(R230)&gt;3,1,0)</f>
        <v>0</v>
      </c>
      <c r="R230" s="79" t="str">
        <f>IF(AND(R236="NOT",S236="NOT",T236="NOT"),"NOT",D230)</f>
        <v>NOT</v>
      </c>
      <c r="U230" s="328"/>
    </row>
    <row r="231" spans="1:22" s="76" customFormat="1" ht="3" customHeight="1" x14ac:dyDescent="0.2">
      <c r="A231" s="87"/>
      <c r="B231" s="88"/>
      <c r="C231" s="88"/>
      <c r="D231" s="70"/>
      <c r="E231" s="70"/>
      <c r="F231" s="70"/>
      <c r="G231" s="70"/>
      <c r="H231" s="70"/>
      <c r="I231" s="70"/>
      <c r="J231" s="70"/>
      <c r="K231" s="88"/>
      <c r="L231" s="70"/>
      <c r="M231" s="70"/>
      <c r="N231" s="70"/>
      <c r="O231" s="89"/>
      <c r="V231" s="79"/>
    </row>
    <row r="232" spans="1:22" ht="29.25" customHeight="1" x14ac:dyDescent="0.2">
      <c r="B232" s="749" t="s">
        <v>203</v>
      </c>
      <c r="C232" s="750"/>
      <c r="D232" s="750"/>
      <c r="E232" s="750"/>
      <c r="F232" s="750"/>
      <c r="H232" s="81"/>
      <c r="J232" s="81"/>
      <c r="K232" s="88"/>
      <c r="L232" s="81"/>
      <c r="N232" s="227"/>
      <c r="R232" s="79" t="str">
        <f>IF(AND(($L230&gt;0),ISBLANK(B234)),B232,"NOT")</f>
        <v>NOT</v>
      </c>
    </row>
    <row r="233" spans="1:22" ht="3" customHeight="1" x14ac:dyDescent="0.2">
      <c r="B233" s="104"/>
      <c r="C233" s="88"/>
      <c r="D233" s="81"/>
      <c r="F233" s="81"/>
      <c r="H233" s="81"/>
      <c r="J233" s="81"/>
      <c r="K233" s="88"/>
      <c r="L233" s="81"/>
      <c r="N233" s="227"/>
    </row>
    <row r="234" spans="1:22" ht="90" customHeight="1" x14ac:dyDescent="0.2">
      <c r="B234" s="751" t="s">
        <v>1107</v>
      </c>
      <c r="C234" s="745"/>
      <c r="D234" s="745"/>
      <c r="E234" s="745"/>
      <c r="F234" s="745"/>
      <c r="G234" s="745"/>
      <c r="H234" s="745"/>
      <c r="I234" s="745"/>
      <c r="J234" s="745"/>
      <c r="K234" s="745"/>
      <c r="L234" s="746"/>
      <c r="M234" s="70" t="s">
        <v>19</v>
      </c>
      <c r="N234" s="227"/>
    </row>
    <row r="235" spans="1:22" ht="3.75" customHeight="1" x14ac:dyDescent="0.2">
      <c r="B235" s="104"/>
      <c r="C235" s="88"/>
      <c r="D235" s="81"/>
      <c r="F235" s="81"/>
      <c r="H235" s="81"/>
      <c r="J235" s="81"/>
      <c r="K235" s="88"/>
      <c r="L235" s="81"/>
      <c r="N235" s="227"/>
    </row>
    <row r="236" spans="1:22" ht="12.75" customHeight="1" x14ac:dyDescent="0.2">
      <c r="B236" s="244" t="s">
        <v>17</v>
      </c>
      <c r="C236" s="88"/>
      <c r="D236" s="244" t="s">
        <v>580</v>
      </c>
      <c r="F236" s="244" t="s">
        <v>205</v>
      </c>
      <c r="H236" s="244" t="s">
        <v>16</v>
      </c>
      <c r="J236" s="244" t="s">
        <v>15</v>
      </c>
      <c r="K236" s="245"/>
      <c r="L236" s="103" t="s">
        <v>141</v>
      </c>
      <c r="N236" s="81"/>
      <c r="R236" s="255" t="str">
        <f>IF(AND(R237="NOT",R238="NOT",R239="NOT",R240="NOT",R241="NOT",R242="NOT",R243="NOT",R244="NOT",R245="NOT",R246="NOT",R232="NOT"),"NOT",D230)</f>
        <v>NOT</v>
      </c>
      <c r="S236" s="255" t="str">
        <f>IF(AND(S237="NOT",S238="NOT",S239="NOT",S240="NOT",S241="NOT",S242="NOT",S243="NOT",S244="NOT",S245="NOT",S246="NOT",R232="NOT"),"NOT",D230)</f>
        <v>NOT</v>
      </c>
      <c r="T236" s="255" t="str">
        <f>IF(AND(T237="NOT",T238="NOT",T239="NOT",T240="NOT",T241="NOT",T242="NOT",T243="NOT",T244="NOT",T245="NOT",T246="NOT",R232="NOT"),"NOT",D230)</f>
        <v>NOT</v>
      </c>
    </row>
    <row r="237" spans="1:22" ht="25.5" x14ac:dyDescent="0.2">
      <c r="B237" s="520" t="s">
        <v>859</v>
      </c>
      <c r="C237" s="88"/>
      <c r="D237" s="260" t="s">
        <v>894</v>
      </c>
      <c r="E237" s="243"/>
      <c r="F237" s="261" t="s">
        <v>764</v>
      </c>
      <c r="G237" s="243"/>
      <c r="H237" s="262">
        <v>1</v>
      </c>
      <c r="I237" s="243"/>
      <c r="J237" s="543">
        <v>248135</v>
      </c>
      <c r="K237" s="88"/>
      <c r="L237" s="143">
        <f t="shared" ref="L237:L246" si="48">TRUNC(H237*J237,2)</f>
        <v>248135</v>
      </c>
      <c r="N237" s="81"/>
      <c r="R237" s="79" t="str">
        <f t="shared" ref="R237:R246" si="49">IF(AND(($L237&gt;0),ISBLANK(B237)),B237,"NOT")</f>
        <v>NOT</v>
      </c>
      <c r="S237" s="79" t="str">
        <f t="shared" ref="S237:S246" si="50">IF(AND(($L237&gt;0),ISBLANK(D237)),D237,"NOT")</f>
        <v>NOT</v>
      </c>
      <c r="T237" s="79" t="str">
        <f t="shared" ref="T237:T246" si="51">IF(AND(($L237&gt;0),ISBLANK(F237)),F237,"NOT")</f>
        <v>NOT</v>
      </c>
      <c r="V237" s="79" t="str">
        <f t="shared" ref="V237:V246" si="52">LEFT(D237,3)</f>
        <v>11.</v>
      </c>
    </row>
    <row r="238" spans="1:22" ht="51" x14ac:dyDescent="0.2">
      <c r="B238" s="544" t="s">
        <v>860</v>
      </c>
      <c r="C238" s="88"/>
      <c r="D238" s="260" t="s">
        <v>895</v>
      </c>
      <c r="E238" s="243"/>
      <c r="F238" s="261" t="s">
        <v>764</v>
      </c>
      <c r="G238" s="243"/>
      <c r="H238" s="262">
        <v>0</v>
      </c>
      <c r="I238" s="243"/>
      <c r="J238" s="559">
        <v>20485</v>
      </c>
      <c r="K238" s="88"/>
      <c r="L238" s="143">
        <f t="shared" si="48"/>
        <v>0</v>
      </c>
      <c r="N238" s="81"/>
      <c r="R238" s="79" t="str">
        <f t="shared" si="49"/>
        <v>NOT</v>
      </c>
      <c r="S238" s="79" t="str">
        <f t="shared" si="50"/>
        <v>NOT</v>
      </c>
      <c r="T238" s="79" t="str">
        <f t="shared" si="51"/>
        <v>NOT</v>
      </c>
      <c r="V238" s="79" t="str">
        <f t="shared" si="52"/>
        <v>14.</v>
      </c>
    </row>
    <row r="239" spans="1:22" x14ac:dyDescent="0.2">
      <c r="B239" s="259"/>
      <c r="C239" s="88"/>
      <c r="D239" s="260"/>
      <c r="E239" s="243"/>
      <c r="F239" s="261"/>
      <c r="G239" s="243"/>
      <c r="H239" s="262"/>
      <c r="I239" s="243"/>
      <c r="J239" s="262"/>
      <c r="K239" s="88"/>
      <c r="L239" s="143">
        <f t="shared" si="48"/>
        <v>0</v>
      </c>
      <c r="N239" s="81"/>
      <c r="R239" s="79" t="str">
        <f t="shared" si="49"/>
        <v>NOT</v>
      </c>
      <c r="S239" s="79" t="str">
        <f t="shared" si="50"/>
        <v>NOT</v>
      </c>
      <c r="T239" s="79" t="str">
        <f t="shared" si="51"/>
        <v>NOT</v>
      </c>
      <c r="V239" s="79" t="str">
        <f t="shared" si="52"/>
        <v/>
      </c>
    </row>
    <row r="240" spans="1:22" x14ac:dyDescent="0.2">
      <c r="B240" s="259"/>
      <c r="C240" s="88"/>
      <c r="D240" s="260"/>
      <c r="E240" s="243"/>
      <c r="F240" s="261"/>
      <c r="G240" s="243"/>
      <c r="H240" s="262"/>
      <c r="I240" s="243"/>
      <c r="J240" s="262"/>
      <c r="K240" s="88"/>
      <c r="L240" s="143">
        <f t="shared" si="48"/>
        <v>0</v>
      </c>
      <c r="N240" s="81"/>
      <c r="R240" s="79" t="str">
        <f t="shared" si="49"/>
        <v>NOT</v>
      </c>
      <c r="S240" s="79" t="str">
        <f t="shared" si="50"/>
        <v>NOT</v>
      </c>
      <c r="T240" s="79" t="str">
        <f t="shared" si="51"/>
        <v>NOT</v>
      </c>
      <c r="V240" s="79" t="str">
        <f t="shared" si="52"/>
        <v/>
      </c>
    </row>
    <row r="241" spans="1:22" x14ac:dyDescent="0.2">
      <c r="B241" s="259"/>
      <c r="C241" s="88"/>
      <c r="D241" s="260"/>
      <c r="E241" s="243"/>
      <c r="F241" s="261"/>
      <c r="G241" s="243"/>
      <c r="H241" s="262"/>
      <c r="I241" s="243"/>
      <c r="J241" s="262"/>
      <c r="K241" s="88"/>
      <c r="L241" s="143">
        <f t="shared" si="48"/>
        <v>0</v>
      </c>
      <c r="N241" s="81"/>
      <c r="R241" s="79" t="str">
        <f t="shared" si="49"/>
        <v>NOT</v>
      </c>
      <c r="S241" s="79" t="str">
        <f t="shared" si="50"/>
        <v>NOT</v>
      </c>
      <c r="T241" s="79" t="str">
        <f t="shared" si="51"/>
        <v>NOT</v>
      </c>
      <c r="V241" s="79" t="str">
        <f t="shared" si="52"/>
        <v/>
      </c>
    </row>
    <row r="242" spans="1:22" x14ac:dyDescent="0.2">
      <c r="B242" s="259"/>
      <c r="C242" s="88"/>
      <c r="D242" s="260"/>
      <c r="E242" s="243"/>
      <c r="F242" s="261"/>
      <c r="G242" s="243"/>
      <c r="H242" s="262"/>
      <c r="I242" s="243"/>
      <c r="J242" s="262"/>
      <c r="K242" s="88"/>
      <c r="L242" s="143">
        <f t="shared" si="48"/>
        <v>0</v>
      </c>
      <c r="N242" s="81"/>
      <c r="R242" s="79" t="str">
        <f t="shared" si="49"/>
        <v>NOT</v>
      </c>
      <c r="S242" s="79" t="str">
        <f t="shared" si="50"/>
        <v>NOT</v>
      </c>
      <c r="T242" s="79" t="str">
        <f t="shared" si="51"/>
        <v>NOT</v>
      </c>
      <c r="V242" s="79" t="str">
        <f t="shared" si="52"/>
        <v/>
      </c>
    </row>
    <row r="243" spans="1:22" x14ac:dyDescent="0.2">
      <c r="B243" s="259"/>
      <c r="C243" s="88"/>
      <c r="D243" s="260"/>
      <c r="E243" s="243"/>
      <c r="F243" s="261"/>
      <c r="G243" s="243"/>
      <c r="H243" s="262"/>
      <c r="I243" s="243"/>
      <c r="J243" s="262"/>
      <c r="K243" s="88"/>
      <c r="L243" s="143">
        <f t="shared" si="48"/>
        <v>0</v>
      </c>
      <c r="N243" s="81"/>
      <c r="R243" s="79" t="str">
        <f t="shared" si="49"/>
        <v>NOT</v>
      </c>
      <c r="S243" s="79" t="str">
        <f t="shared" si="50"/>
        <v>NOT</v>
      </c>
      <c r="T243" s="79" t="str">
        <f t="shared" si="51"/>
        <v>NOT</v>
      </c>
      <c r="V243" s="79" t="str">
        <f t="shared" si="52"/>
        <v/>
      </c>
    </row>
    <row r="244" spans="1:22" x14ac:dyDescent="0.2">
      <c r="B244" s="259"/>
      <c r="C244" s="88"/>
      <c r="D244" s="260"/>
      <c r="E244" s="243"/>
      <c r="F244" s="261"/>
      <c r="G244" s="243"/>
      <c r="H244" s="262"/>
      <c r="I244" s="243"/>
      <c r="J244" s="262"/>
      <c r="K244" s="88"/>
      <c r="L244" s="143">
        <f t="shared" si="48"/>
        <v>0</v>
      </c>
      <c r="N244" s="81"/>
      <c r="R244" s="79" t="str">
        <f t="shared" si="49"/>
        <v>NOT</v>
      </c>
      <c r="S244" s="79" t="str">
        <f t="shared" si="50"/>
        <v>NOT</v>
      </c>
      <c r="T244" s="79" t="str">
        <f t="shared" si="51"/>
        <v>NOT</v>
      </c>
      <c r="V244" s="79" t="str">
        <f t="shared" si="52"/>
        <v/>
      </c>
    </row>
    <row r="245" spans="1:22" x14ac:dyDescent="0.2">
      <c r="B245" s="259"/>
      <c r="C245" s="88"/>
      <c r="D245" s="260"/>
      <c r="E245" s="243"/>
      <c r="F245" s="261"/>
      <c r="G245" s="243"/>
      <c r="H245" s="262"/>
      <c r="I245" s="243"/>
      <c r="J245" s="262"/>
      <c r="K245" s="88"/>
      <c r="L245" s="143">
        <f t="shared" si="48"/>
        <v>0</v>
      </c>
      <c r="N245" s="81"/>
      <c r="R245" s="79" t="str">
        <f t="shared" si="49"/>
        <v>NOT</v>
      </c>
      <c r="S245" s="79" t="str">
        <f t="shared" si="50"/>
        <v>NOT</v>
      </c>
      <c r="T245" s="79" t="str">
        <f t="shared" si="51"/>
        <v>NOT</v>
      </c>
      <c r="V245" s="79" t="str">
        <f t="shared" si="52"/>
        <v/>
      </c>
    </row>
    <row r="246" spans="1:22" x14ac:dyDescent="0.2">
      <c r="B246" s="259"/>
      <c r="C246" s="88"/>
      <c r="D246" s="260"/>
      <c r="E246" s="243"/>
      <c r="F246" s="261"/>
      <c r="G246" s="243"/>
      <c r="H246" s="262"/>
      <c r="I246" s="243"/>
      <c r="J246" s="262"/>
      <c r="K246" s="88"/>
      <c r="L246" s="143">
        <f t="shared" si="48"/>
        <v>0</v>
      </c>
      <c r="N246" s="81"/>
      <c r="R246" s="79" t="str">
        <f t="shared" si="49"/>
        <v>NOT</v>
      </c>
      <c r="S246" s="79" t="str">
        <f t="shared" si="50"/>
        <v>NOT</v>
      </c>
      <c r="T246" s="79" t="str">
        <f t="shared" si="51"/>
        <v>NOT</v>
      </c>
      <c r="V246" s="79" t="str">
        <f t="shared" si="52"/>
        <v/>
      </c>
    </row>
    <row r="247" spans="1:22" x14ac:dyDescent="0.2">
      <c r="B247" s="104"/>
      <c r="C247" s="88"/>
      <c r="D247" s="81"/>
      <c r="F247" s="81"/>
      <c r="H247" s="81"/>
      <c r="J247" s="81"/>
      <c r="K247" s="88"/>
      <c r="L247" s="81"/>
      <c r="N247" s="227"/>
    </row>
    <row r="248" spans="1:22" ht="13.5" customHeight="1" x14ac:dyDescent="0.2">
      <c r="A248" s="276"/>
      <c r="B248" s="278" t="s">
        <v>304</v>
      </c>
      <c r="C248" s="277"/>
      <c r="D248" s="747" t="s">
        <v>166</v>
      </c>
      <c r="E248" s="748"/>
      <c r="F248" s="748"/>
      <c r="G248" s="748"/>
      <c r="H248" s="748"/>
      <c r="I248" s="279"/>
      <c r="J248" s="280" t="s">
        <v>18</v>
      </c>
      <c r="K248" s="88"/>
      <c r="L248" s="156">
        <f>SUM(L255:L258)</f>
        <v>0</v>
      </c>
      <c r="M248" s="246"/>
      <c r="N248" s="147">
        <f>IF(L248=0,0%,L248/L$8)</f>
        <v>0</v>
      </c>
      <c r="O248" s="495">
        <f>IF(LEN(R248)&gt;3,1,0)</f>
        <v>0</v>
      </c>
      <c r="P248" s="270">
        <v>0.1</v>
      </c>
      <c r="Q248" s="231" t="str">
        <f>IF('9. Project budget summary'!X39=1,B249,"")</f>
        <v/>
      </c>
      <c r="R248" s="79" t="str">
        <f>IF(AND(R254="NOT",S254="NOT",T254="NOT"),"NOT",D248)</f>
        <v>NOT</v>
      </c>
    </row>
    <row r="249" spans="1:22" s="76" customFormat="1" ht="27" customHeight="1" x14ac:dyDescent="0.2">
      <c r="A249" s="87"/>
      <c r="B249" s="752" t="s">
        <v>643</v>
      </c>
      <c r="C249" s="753"/>
      <c r="D249" s="753"/>
      <c r="E249" s="753"/>
      <c r="F249" s="753"/>
      <c r="G249" s="753"/>
      <c r="H249" s="753"/>
      <c r="I249" s="753"/>
      <c r="J249" s="753"/>
      <c r="K249" s="88"/>
      <c r="L249" s="70"/>
      <c r="M249" s="70"/>
      <c r="N249" s="70"/>
      <c r="O249" s="495">
        <f>IF(LEN(Q248)&gt;3,1,0)</f>
        <v>0</v>
      </c>
      <c r="Q249" s="272"/>
      <c r="V249" s="79"/>
    </row>
    <row r="250" spans="1:22" x14ac:dyDescent="0.2">
      <c r="B250" s="742" t="s">
        <v>197</v>
      </c>
      <c r="C250" s="743"/>
      <c r="D250" s="743"/>
      <c r="E250" s="743"/>
      <c r="F250" s="743"/>
      <c r="H250" s="81"/>
      <c r="J250" s="81"/>
      <c r="K250" s="88"/>
      <c r="L250" s="81"/>
      <c r="N250" s="227"/>
      <c r="R250" s="79" t="str">
        <f>IF(AND(($L248&gt;0),ISBLANK(B252)),B250,"NOT")</f>
        <v>NOT</v>
      </c>
    </row>
    <row r="251" spans="1:22" ht="3" customHeight="1" x14ac:dyDescent="0.2">
      <c r="B251" s="104"/>
      <c r="C251" s="88"/>
      <c r="D251" s="81"/>
      <c r="F251" s="81"/>
      <c r="H251" s="81"/>
      <c r="J251" s="81"/>
      <c r="K251" s="88"/>
      <c r="L251" s="81"/>
      <c r="N251" s="227"/>
    </row>
    <row r="252" spans="1:22" ht="48" customHeight="1" x14ac:dyDescent="0.2">
      <c r="B252" s="744"/>
      <c r="C252" s="745"/>
      <c r="D252" s="745"/>
      <c r="E252" s="745"/>
      <c r="F252" s="745"/>
      <c r="G252" s="745"/>
      <c r="H252" s="745"/>
      <c r="I252" s="745"/>
      <c r="J252" s="745"/>
      <c r="K252" s="745"/>
      <c r="L252" s="746"/>
      <c r="M252" s="70" t="s">
        <v>19</v>
      </c>
      <c r="N252" s="227"/>
    </row>
    <row r="253" spans="1:22" ht="3.75" customHeight="1" x14ac:dyDescent="0.2">
      <c r="B253" s="104"/>
      <c r="C253" s="88"/>
      <c r="D253" s="81"/>
      <c r="F253" s="81"/>
      <c r="H253" s="81"/>
      <c r="J253" s="81"/>
      <c r="K253" s="88"/>
      <c r="L253" s="81"/>
      <c r="N253" s="227"/>
    </row>
    <row r="254" spans="1:22" ht="12.75" customHeight="1" x14ac:dyDescent="0.2">
      <c r="B254" s="244" t="s">
        <v>17</v>
      </c>
      <c r="C254" s="88"/>
      <c r="D254" s="244" t="s">
        <v>580</v>
      </c>
      <c r="F254" s="244" t="s">
        <v>205</v>
      </c>
      <c r="H254" s="244" t="s">
        <v>16</v>
      </c>
      <c r="J254" s="244" t="s">
        <v>15</v>
      </c>
      <c r="K254" s="245"/>
      <c r="L254" s="103" t="s">
        <v>141</v>
      </c>
      <c r="N254" s="81"/>
      <c r="R254" s="255" t="str">
        <f>IF(AND(R255="NOT",R256="NOT",R257="NOT",R258="NOT",R250="NOT"),"NOT",D248)</f>
        <v>NOT</v>
      </c>
      <c r="S254" s="255" t="str">
        <f>IF(AND(S255="NOT",S256="NOT",S257="NOT",S258="NOT",R250="NOT"),"NOT",D248)</f>
        <v>NOT</v>
      </c>
      <c r="T254" s="255" t="str">
        <f>IF(AND(T255="NOT",T256="NOT",T257="NOT",T258="NOT",R250="NOT"),"NOT",D248)</f>
        <v>NOT</v>
      </c>
    </row>
    <row r="255" spans="1:22" x14ac:dyDescent="0.2">
      <c r="B255" s="259"/>
      <c r="C255" s="88"/>
      <c r="D255" s="260"/>
      <c r="E255" s="243"/>
      <c r="F255" s="261"/>
      <c r="G255" s="243"/>
      <c r="H255" s="262"/>
      <c r="I255" s="243"/>
      <c r="J255" s="262"/>
      <c r="K255" s="88"/>
      <c r="L255" s="143">
        <f>TRUNC(H255*J255,2)</f>
        <v>0</v>
      </c>
      <c r="N255" s="81"/>
      <c r="R255" s="79" t="str">
        <f>IF(AND(($L255&gt;0),ISBLANK(B255)),B255,"NOT")</f>
        <v>NOT</v>
      </c>
      <c r="S255" s="79" t="str">
        <f>IF(AND(($L255&gt;0),ISBLANK(D255)),D255,"NOT")</f>
        <v>NOT</v>
      </c>
      <c r="T255" s="79" t="str">
        <f>IF(AND(($L255&gt;0),ISBLANK(F255)),F255,"NOT")</f>
        <v>NOT</v>
      </c>
      <c r="V255" s="79" t="str">
        <f>LEFT(D255,3)</f>
        <v/>
      </c>
    </row>
    <row r="256" spans="1:22" x14ac:dyDescent="0.2">
      <c r="B256" s="259"/>
      <c r="C256" s="88"/>
      <c r="D256" s="260"/>
      <c r="E256" s="243"/>
      <c r="F256" s="261"/>
      <c r="G256" s="243"/>
      <c r="H256" s="262"/>
      <c r="I256" s="243"/>
      <c r="J256" s="262"/>
      <c r="K256" s="88"/>
      <c r="L256" s="143">
        <f>TRUNC(H256*J256,2)</f>
        <v>0</v>
      </c>
      <c r="N256" s="81"/>
      <c r="R256" s="79" t="str">
        <f>IF(AND(($L256&gt;0),ISBLANK(B256)),B256,"NOT")</f>
        <v>NOT</v>
      </c>
      <c r="S256" s="79" t="str">
        <f>IF(AND(($L256&gt;0),ISBLANK(D256)),D256,"NOT")</f>
        <v>NOT</v>
      </c>
      <c r="T256" s="79" t="str">
        <f>IF(AND(($L256&gt;0),ISBLANK(F256)),F256,"NOT")</f>
        <v>NOT</v>
      </c>
      <c r="V256" s="79" t="str">
        <f>LEFT(D256,3)</f>
        <v/>
      </c>
    </row>
    <row r="257" spans="1:22" x14ac:dyDescent="0.2">
      <c r="B257" s="259"/>
      <c r="C257" s="88"/>
      <c r="D257" s="260"/>
      <c r="E257" s="243"/>
      <c r="F257" s="261"/>
      <c r="G257" s="243"/>
      <c r="H257" s="262"/>
      <c r="I257" s="243"/>
      <c r="J257" s="262"/>
      <c r="K257" s="88"/>
      <c r="L257" s="143">
        <f>TRUNC(H257*J257,2)</f>
        <v>0</v>
      </c>
      <c r="N257" s="81"/>
      <c r="R257" s="79" t="str">
        <f>IF(AND(($L257&gt;0),ISBLANK(B257)),B257,"NOT")</f>
        <v>NOT</v>
      </c>
      <c r="S257" s="79" t="str">
        <f>IF(AND(($L257&gt;0),ISBLANK(D257)),D257,"NOT")</f>
        <v>NOT</v>
      </c>
      <c r="T257" s="79" t="str">
        <f>IF(AND(($L257&gt;0),ISBLANK(F257)),F257,"NOT")</f>
        <v>NOT</v>
      </c>
      <c r="V257" s="79" t="str">
        <f>LEFT(D257,3)</f>
        <v/>
      </c>
    </row>
    <row r="258" spans="1:22" x14ac:dyDescent="0.2">
      <c r="B258" s="259"/>
      <c r="C258" s="88"/>
      <c r="D258" s="260"/>
      <c r="E258" s="243"/>
      <c r="F258" s="261"/>
      <c r="G258" s="243"/>
      <c r="H258" s="262"/>
      <c r="I258" s="243"/>
      <c r="J258" s="262"/>
      <c r="K258" s="88"/>
      <c r="L258" s="143">
        <f>TRUNC(H258*J258,2)</f>
        <v>0</v>
      </c>
      <c r="N258" s="81"/>
      <c r="R258" s="79" t="str">
        <f>IF(AND(($L258&gt;0),ISBLANK(B258)),B258,"NOT")</f>
        <v>NOT</v>
      </c>
      <c r="S258" s="79" t="str">
        <f>IF(AND(($L258&gt;0),ISBLANK(D258)),D258,"NOT")</f>
        <v>NOT</v>
      </c>
      <c r="T258" s="79" t="str">
        <f>IF(AND(($L258&gt;0),ISBLANK(F258)),F258,"NOT")</f>
        <v>NOT</v>
      </c>
      <c r="V258" s="79" t="str">
        <f>LEFT(D258,3)</f>
        <v/>
      </c>
    </row>
    <row r="259" spans="1:22" s="76" customFormat="1" ht="12.75" customHeight="1" x14ac:dyDescent="0.2">
      <c r="A259" s="87"/>
      <c r="B259" s="88"/>
      <c r="C259" s="88"/>
      <c r="D259" s="70"/>
      <c r="E259" s="70"/>
      <c r="F259" s="70"/>
      <c r="G259" s="70"/>
      <c r="H259" s="70"/>
      <c r="I259" s="70"/>
      <c r="J259" s="70"/>
      <c r="K259" s="88"/>
      <c r="L259" s="70"/>
      <c r="M259" s="70"/>
      <c r="N259" s="70"/>
      <c r="O259" s="89"/>
      <c r="V259" s="79"/>
    </row>
    <row r="260" spans="1:22" ht="18" customHeight="1" x14ac:dyDescent="0.2">
      <c r="A260" s="263"/>
      <c r="B260" s="264"/>
      <c r="C260" s="265"/>
      <c r="D260" s="266"/>
      <c r="E260" s="267"/>
      <c r="F260" s="266"/>
      <c r="G260" s="267"/>
      <c r="H260" s="266"/>
      <c r="I260" s="267"/>
      <c r="J260" s="266"/>
      <c r="K260" s="265"/>
      <c r="L260" s="266"/>
      <c r="M260" s="267"/>
      <c r="N260" s="268"/>
    </row>
    <row r="261" spans="1:22" hidden="1" x14ac:dyDescent="0.2"/>
    <row r="262" spans="1:22" ht="25.5" hidden="1" x14ac:dyDescent="0.2">
      <c r="C262" s="44" t="str">
        <f>LEFT(D262,3)</f>
        <v xml:space="preserve">1. </v>
      </c>
      <c r="D262" s="465" t="str">
        <f>CONCATENATE('6. Project Activities'!A10," ",'6. Project Activities'!B10)</f>
        <v>1. Project administration and management</v>
      </c>
      <c r="L262" s="44">
        <f t="shared" ref="L262:L285" si="53">SUMIF($V$11:$V$259,C262,$L$11:$L$259)</f>
        <v>29000</v>
      </c>
    </row>
    <row r="263" spans="1:22" hidden="1" x14ac:dyDescent="0.2">
      <c r="C263" s="44" t="str">
        <f t="shared" ref="C263:C285" si="54">LEFT(D263,3)</f>
        <v xml:space="preserve">2. </v>
      </c>
      <c r="D263" s="465" t="str">
        <f>CONCATENATE('6. Project Activities'!A11," ",'6. Project Activities'!B11)</f>
        <v>2. Information and publicity</v>
      </c>
      <c r="L263" s="44">
        <f t="shared" si="53"/>
        <v>28787</v>
      </c>
    </row>
    <row r="264" spans="1:22" ht="38.25" hidden="1" x14ac:dyDescent="0.2">
      <c r="C264" s="44" t="str">
        <f t="shared" si="54"/>
        <v xml:space="preserve">3. </v>
      </c>
      <c r="D264" s="465" t="str">
        <f>CONCATENATE('6. Project Activities'!A12," ",'6. Project Activities'!B12)</f>
        <v>3. Activity 3.1: Organisation of project conferences and regular press conferences</v>
      </c>
      <c r="L264" s="44">
        <f t="shared" si="53"/>
        <v>1150</v>
      </c>
    </row>
    <row r="265" spans="1:22" ht="38.25" hidden="1" x14ac:dyDescent="0.2">
      <c r="C265" s="44" t="str">
        <f t="shared" si="54"/>
        <v xml:space="preserve">4. </v>
      </c>
      <c r="D265" s="465" t="str">
        <f>CONCATENATE('6. Project Activities'!A13," ",'6. Project Activities'!B13)</f>
        <v>4. Activity 3.2: Creation and regular updating of project website, project presence in Social media</v>
      </c>
      <c r="L265" s="44">
        <f t="shared" si="53"/>
        <v>0</v>
      </c>
    </row>
    <row r="266" spans="1:22" ht="25.5" hidden="1" x14ac:dyDescent="0.2">
      <c r="C266" s="44" t="str">
        <f t="shared" si="54"/>
        <v xml:space="preserve">5. </v>
      </c>
      <c r="D266" s="465" t="str">
        <f>CONCATENATE('6. Project Activities'!A14," ",'6. Project Activities'!B14)</f>
        <v>5. Activity 3.3: Development of multilingual mobile App</v>
      </c>
      <c r="L266" s="44">
        <f t="shared" si="53"/>
        <v>0</v>
      </c>
    </row>
    <row r="267" spans="1:22" ht="38.25" hidden="1" x14ac:dyDescent="0.2">
      <c r="C267" s="44" t="str">
        <f t="shared" si="54"/>
        <v xml:space="preserve">6. </v>
      </c>
      <c r="D267" s="465" t="str">
        <f>CONCATENATE('6. Project Activities'!A15," ",'6. Project Activities'!B15)</f>
        <v>6. Activity 3.4: Organisation of local and cross-border events for cyclists</v>
      </c>
      <c r="L267" s="44">
        <f t="shared" si="53"/>
        <v>24700</v>
      </c>
    </row>
    <row r="268" spans="1:22" ht="38.25" hidden="1" x14ac:dyDescent="0.2">
      <c r="C268" s="44" t="str">
        <f t="shared" si="54"/>
        <v xml:space="preserve">7. </v>
      </c>
      <c r="D268" s="465" t="str">
        <f>CONCATENATE('6. Project Activities'!A16," ",'6. Project Activities'!B16)</f>
        <v>7. Activity 3.5: Organisation of Summer Cycling Camp for primary school kids in Croatia</v>
      </c>
      <c r="L268" s="44">
        <f t="shared" si="53"/>
        <v>0</v>
      </c>
    </row>
    <row r="269" spans="1:22" ht="38.25" hidden="1" x14ac:dyDescent="0.2">
      <c r="C269" s="44" t="str">
        <f t="shared" si="54"/>
        <v xml:space="preserve">8. </v>
      </c>
      <c r="D269" s="465" t="str">
        <f>CONCATENATE('6. Project Activities'!A17," ",'6. Project Activities'!B17)</f>
        <v>8. Activity 3.6: Organisation of “Safety in traffic for cyclists” workshops</v>
      </c>
      <c r="L269" s="44">
        <f t="shared" si="53"/>
        <v>600</v>
      </c>
    </row>
    <row r="270" spans="1:22" ht="38.25" hidden="1" x14ac:dyDescent="0.2">
      <c r="C270" s="44" t="str">
        <f t="shared" si="54"/>
        <v xml:space="preserve">9. </v>
      </c>
      <c r="D270" s="465" t="str">
        <f>CONCATENATE('6. Project Activities'!A18," ",'6. Project Activities'!B18)</f>
        <v>9. Activity 4.1: Development of missing sections of the bicycle routes in Ludbreg area</v>
      </c>
      <c r="L270" s="44">
        <f t="shared" si="53"/>
        <v>0</v>
      </c>
    </row>
    <row r="271" spans="1:22" ht="38.25" hidden="1" x14ac:dyDescent="0.2">
      <c r="C271" s="44" t="str">
        <f t="shared" si="54"/>
        <v>10.</v>
      </c>
      <c r="D271" s="465" t="str">
        <f>CONCATENATE('6. Project Activities'!A19," ",'6. Project Activities'!B19)</f>
        <v>10. Activity 4.2: Adaptation and arrangement of the part of a local road Ludbreg</v>
      </c>
      <c r="L271" s="44">
        <f t="shared" si="53"/>
        <v>0</v>
      </c>
    </row>
    <row r="272" spans="1:22" ht="25.5" hidden="1" x14ac:dyDescent="0.2">
      <c r="C272" s="44" t="str">
        <f t="shared" si="54"/>
        <v>11.</v>
      </c>
      <c r="D272" s="465" t="str">
        <f>CONCATENATE('6. Project Activities'!A20," ",'6. Project Activities'!B20)</f>
        <v>11. Activity 4.3: Establishment of Cyclist Centre in Letenye</v>
      </c>
      <c r="L272" s="44">
        <f t="shared" si="53"/>
        <v>314530.5</v>
      </c>
    </row>
    <row r="273" spans="3:12" ht="51" hidden="1" x14ac:dyDescent="0.2">
      <c r="C273" s="44" t="str">
        <f t="shared" si="54"/>
        <v>12.</v>
      </c>
      <c r="D273" s="465" t="str">
        <f>CONCATENATE('6. Project Activities'!A21," ",'6. Project Activities'!B21)</f>
        <v>12. Activity 4.4: Preparation of technical documentation for obtaining a building permit for bike paths" - Draškovec Oporovec</v>
      </c>
      <c r="L273" s="44">
        <f t="shared" si="53"/>
        <v>0</v>
      </c>
    </row>
    <row r="274" spans="3:12" ht="38.25" hidden="1" x14ac:dyDescent="0.2">
      <c r="C274" s="44" t="str">
        <f t="shared" si="54"/>
        <v>13.</v>
      </c>
      <c r="D274" s="465" t="str">
        <f>CONCATENATE('6. Project Activities'!A22," ",'6. Project Activities'!B22)</f>
        <v>13. Activity 4.5: Adaptation/reconstruction of the restplace for cyclist in Oporovec</v>
      </c>
      <c r="L274" s="44">
        <f t="shared" si="53"/>
        <v>0</v>
      </c>
    </row>
    <row r="275" spans="3:12" ht="51" hidden="1" x14ac:dyDescent="0.2">
      <c r="C275" s="44" t="str">
        <f t="shared" si="54"/>
        <v>14.</v>
      </c>
      <c r="D275" s="465" t="str">
        <f>CONCATENATE('6. Project Activities'!A23," ",'6. Project Activities'!B23)</f>
        <v>14. Activity 4.6: Establishment of restplaces, info points and installation of information boards alongside the bicycle routes</v>
      </c>
      <c r="L275" s="44">
        <f t="shared" si="53"/>
        <v>10760</v>
      </c>
    </row>
    <row r="276" spans="3:12" hidden="1" x14ac:dyDescent="0.2">
      <c r="C276" s="44" t="str">
        <f t="shared" si="54"/>
        <v>15.</v>
      </c>
      <c r="D276" s="465" t="str">
        <f>CONCATENATE('6. Project Activities'!A24," ",'6. Project Activities'!B24)</f>
        <v xml:space="preserve">15. </v>
      </c>
      <c r="L276" s="44">
        <f t="shared" si="53"/>
        <v>0</v>
      </c>
    </row>
    <row r="277" spans="3:12" hidden="1" x14ac:dyDescent="0.2">
      <c r="C277" s="44" t="str">
        <f t="shared" si="54"/>
        <v>16.</v>
      </c>
      <c r="D277" s="465" t="str">
        <f>CONCATENATE('6. Project Activities'!A25," ",'6. Project Activities'!B25)</f>
        <v xml:space="preserve">16. </v>
      </c>
      <c r="L277" s="44">
        <f t="shared" si="53"/>
        <v>0</v>
      </c>
    </row>
    <row r="278" spans="3:12" hidden="1" x14ac:dyDescent="0.2">
      <c r="C278" s="44" t="str">
        <f t="shared" si="54"/>
        <v>17.</v>
      </c>
      <c r="D278" s="465" t="str">
        <f>CONCATENATE('6. Project Activities'!A26," ",'6. Project Activities'!B26)</f>
        <v xml:space="preserve">17. </v>
      </c>
      <c r="L278" s="44">
        <f t="shared" si="53"/>
        <v>0</v>
      </c>
    </row>
    <row r="279" spans="3:12" hidden="1" x14ac:dyDescent="0.2">
      <c r="C279" s="44" t="str">
        <f t="shared" si="54"/>
        <v>18.</v>
      </c>
      <c r="D279" s="465" t="str">
        <f>CONCATENATE('6. Project Activities'!A27," ",'6. Project Activities'!B27)</f>
        <v xml:space="preserve">18. </v>
      </c>
      <c r="L279" s="44">
        <f t="shared" si="53"/>
        <v>0</v>
      </c>
    </row>
    <row r="280" spans="3:12" hidden="1" x14ac:dyDescent="0.2">
      <c r="C280" s="44" t="str">
        <f t="shared" si="54"/>
        <v>19.</v>
      </c>
      <c r="D280" s="465" t="str">
        <f>CONCATENATE('6. Project Activities'!A28," ",'6. Project Activities'!B28)</f>
        <v xml:space="preserve">19. </v>
      </c>
      <c r="L280" s="44">
        <f t="shared" si="53"/>
        <v>0</v>
      </c>
    </row>
    <row r="281" spans="3:12" hidden="1" x14ac:dyDescent="0.2">
      <c r="C281" s="44" t="str">
        <f t="shared" si="54"/>
        <v>20.</v>
      </c>
      <c r="D281" s="465" t="str">
        <f>CONCATENATE('6. Project Activities'!A29," ",'6. Project Activities'!B29)</f>
        <v xml:space="preserve">20. </v>
      </c>
      <c r="L281" s="44">
        <f t="shared" si="53"/>
        <v>0</v>
      </c>
    </row>
    <row r="282" spans="3:12" hidden="1" x14ac:dyDescent="0.2">
      <c r="C282" s="44" t="str">
        <f t="shared" si="54"/>
        <v>21.</v>
      </c>
      <c r="D282" s="465" t="str">
        <f>CONCATENATE('6. Project Activities'!A30," ",'6. Project Activities'!B30)</f>
        <v xml:space="preserve">21. </v>
      </c>
      <c r="L282" s="44">
        <f t="shared" si="53"/>
        <v>0</v>
      </c>
    </row>
    <row r="283" spans="3:12" hidden="1" x14ac:dyDescent="0.2">
      <c r="C283" s="44" t="str">
        <f t="shared" si="54"/>
        <v>22.</v>
      </c>
      <c r="D283" s="465" t="str">
        <f>CONCATENATE('6. Project Activities'!A31," ",'6. Project Activities'!B31)</f>
        <v xml:space="preserve">22. </v>
      </c>
      <c r="L283" s="44">
        <f t="shared" si="53"/>
        <v>0</v>
      </c>
    </row>
    <row r="284" spans="3:12" hidden="1" x14ac:dyDescent="0.2">
      <c r="C284" s="44" t="str">
        <f t="shared" si="54"/>
        <v>23.</v>
      </c>
      <c r="D284" s="465" t="str">
        <f>CONCATENATE('6. Project Activities'!A32," ",'6. Project Activities'!B32)</f>
        <v xml:space="preserve">23. </v>
      </c>
      <c r="L284" s="44">
        <f t="shared" si="53"/>
        <v>0</v>
      </c>
    </row>
    <row r="285" spans="3:12" hidden="1" x14ac:dyDescent="0.2">
      <c r="C285" s="44" t="str">
        <f t="shared" si="54"/>
        <v>24.</v>
      </c>
      <c r="D285" s="465" t="str">
        <f>CONCATENATE('6. Project Activities'!A33," ",'6. Project Activities'!B33)</f>
        <v xml:space="preserve">24. </v>
      </c>
      <c r="L285" s="44">
        <f t="shared" si="53"/>
        <v>0</v>
      </c>
    </row>
    <row r="286" spans="3:12" x14ac:dyDescent="0.2">
      <c r="C286" s="44"/>
    </row>
    <row r="287" spans="3:12" x14ac:dyDescent="0.2">
      <c r="C287" s="44"/>
    </row>
    <row r="288" spans="3:12" x14ac:dyDescent="0.2">
      <c r="C288" s="44"/>
    </row>
    <row r="289" spans="3:3" x14ac:dyDescent="0.2">
      <c r="C289" s="44"/>
    </row>
    <row r="290" spans="3:3" x14ac:dyDescent="0.2">
      <c r="C290" s="44"/>
    </row>
    <row r="291" spans="3:3" x14ac:dyDescent="0.2">
      <c r="C291" s="44"/>
    </row>
  </sheetData>
  <sheetProtection password="F58B" sheet="1" objects="1" scenarios="1" formatCells="0" selectLockedCells="1"/>
  <mergeCells count="60">
    <mergeCell ref="B116:L116"/>
    <mergeCell ref="D130:H130"/>
    <mergeCell ref="B132:F132"/>
    <mergeCell ref="B134:L134"/>
    <mergeCell ref="B196:L196"/>
    <mergeCell ref="B176:F176"/>
    <mergeCell ref="B178:L178"/>
    <mergeCell ref="D192:H192"/>
    <mergeCell ref="B194:F194"/>
    <mergeCell ref="D174:H174"/>
    <mergeCell ref="D148:H148"/>
    <mergeCell ref="B150:F150"/>
    <mergeCell ref="B152:L152"/>
    <mergeCell ref="B149:L149"/>
    <mergeCell ref="D162:H162"/>
    <mergeCell ref="B164:F164"/>
    <mergeCell ref="B166:L166"/>
    <mergeCell ref="D40:H40"/>
    <mergeCell ref="D42:H42"/>
    <mergeCell ref="D44:H44"/>
    <mergeCell ref="B46:F46"/>
    <mergeCell ref="B48:L48"/>
    <mergeCell ref="D62:H62"/>
    <mergeCell ref="B64:F64"/>
    <mergeCell ref="B66:L66"/>
    <mergeCell ref="D112:H112"/>
    <mergeCell ref="B114:F114"/>
    <mergeCell ref="B82:F82"/>
    <mergeCell ref="B84:L84"/>
    <mergeCell ref="D99:H99"/>
    <mergeCell ref="D101:H101"/>
    <mergeCell ref="B103:F103"/>
    <mergeCell ref="B105:L105"/>
    <mergeCell ref="D10:H10"/>
    <mergeCell ref="D3:N3"/>
    <mergeCell ref="D5:N5"/>
    <mergeCell ref="D8:H8"/>
    <mergeCell ref="B20:L20"/>
    <mergeCell ref="D12:H12"/>
    <mergeCell ref="D16:H16"/>
    <mergeCell ref="B18:F18"/>
    <mergeCell ref="B17:L17"/>
    <mergeCell ref="D14:H14"/>
    <mergeCell ref="B15:L15"/>
    <mergeCell ref="A1:B1"/>
    <mergeCell ref="D1:N1"/>
    <mergeCell ref="B250:F250"/>
    <mergeCell ref="B252:L252"/>
    <mergeCell ref="D230:H230"/>
    <mergeCell ref="B232:F232"/>
    <mergeCell ref="B234:L234"/>
    <mergeCell ref="D248:H248"/>
    <mergeCell ref="B249:J249"/>
    <mergeCell ref="D226:H226"/>
    <mergeCell ref="F228:H228"/>
    <mergeCell ref="D206:H206"/>
    <mergeCell ref="D208:H208"/>
    <mergeCell ref="B210:F210"/>
    <mergeCell ref="B212:L212"/>
    <mergeCell ref="D80:H80"/>
  </mergeCells>
  <phoneticPr fontId="3" type="noConversion"/>
  <conditionalFormatting sqref="D16:H16 B18:F18 D62:H62 D44:H44 B64:F64 B46:F46 D80:H80 B82:F82 D112:H112 D101:H101 B114:F114 B103:F103 D130:H130 B132:F132 D148:H148 B150:F150 D162:H162 B164:F164 D174:H174 D192:H192 D208:H208 B210:F210 D248:H248 D230:H230 B250:F250 B232:F232">
    <cfRule type="cellIs" dxfId="235" priority="14" stopIfTrue="1" operator="equal">
      <formula>$R16</formula>
    </cfRule>
  </conditionalFormatting>
  <conditionalFormatting sqref="D12:H12 D99:H99 D228:E228">
    <cfRule type="cellIs" dxfId="234" priority="15" stopIfTrue="1" operator="equal">
      <formula>$Q12</formula>
    </cfRule>
  </conditionalFormatting>
  <conditionalFormatting sqref="B149:L149">
    <cfRule type="cellIs" dxfId="233" priority="22" stopIfTrue="1" operator="equal">
      <formula>$Q$149</formula>
    </cfRule>
  </conditionalFormatting>
  <conditionalFormatting sqref="B17:L17">
    <cfRule type="cellIs" dxfId="232" priority="23" stopIfTrue="1" operator="equal">
      <formula>$Q$17</formula>
    </cfRule>
  </conditionalFormatting>
  <conditionalFormatting sqref="F228:H228">
    <cfRule type="cellIs" dxfId="231" priority="31" stopIfTrue="1" operator="equal">
      <formula>$R$228</formula>
    </cfRule>
  </conditionalFormatting>
  <conditionalFormatting sqref="D206:H206">
    <cfRule type="cellIs" dxfId="230" priority="32" stopIfTrue="1" operator="equal">
      <formula>$Q$206</formula>
    </cfRule>
  </conditionalFormatting>
  <conditionalFormatting sqref="D14:H14">
    <cfRule type="cellIs" dxfId="229" priority="10" stopIfTrue="1" operator="equal">
      <formula>$Q14</formula>
    </cfRule>
  </conditionalFormatting>
  <conditionalFormatting sqref="B15:L15">
    <cfRule type="cellIs" dxfId="228" priority="6" stopIfTrue="1" operator="equal">
      <formula>$P$15</formula>
    </cfRule>
  </conditionalFormatting>
  <conditionalFormatting sqref="B249:J249">
    <cfRule type="cellIs" dxfId="227" priority="5" stopIfTrue="1" operator="equal">
      <formula>$Q$248</formula>
    </cfRule>
  </conditionalFormatting>
  <conditionalFormatting sqref="D42:H42">
    <cfRule type="cellIs" dxfId="226" priority="4" stopIfTrue="1" operator="equal">
      <formula>$Q42</formula>
    </cfRule>
  </conditionalFormatting>
  <conditionalFormatting sqref="B194:F194">
    <cfRule type="cellIs" dxfId="225" priority="3" stopIfTrue="1" operator="equal">
      <formula>$R194</formula>
    </cfRule>
  </conditionalFormatting>
  <conditionalFormatting sqref="B176:F176">
    <cfRule type="cellIs" dxfId="224" priority="2" stopIfTrue="1" operator="equal">
      <formula>$R176</formula>
    </cfRule>
  </conditionalFormatting>
  <conditionalFormatting sqref="D8:H8">
    <cfRule type="cellIs" dxfId="223" priority="1" stopIfTrue="1" operator="equal">
      <formula>O$8</formula>
    </cfRule>
  </conditionalFormatting>
  <dataValidations count="4">
    <dataValidation type="decimal" allowBlank="1" showInputMessage="1" showErrorMessage="1" sqref="L260 D260 H260 J260 F260 L230 L232:L233 D233 F233 F235 L235 D235 J235 H232:H233 L247:L248 D247 L250:L251 F247 J247 H247 D251 H235 J232:J233 N236:N246 F251 F253 L253 D253 J253 H250:H251 H253 J250:J251 F227 D227 H227 J227 L194:L195 D195 F195 F197 L197 D197 J197 H194:H195 H197 J194:J195 N198:N203 H191 J191 F191 L191:L192 D191 L164:L165 D165 F165 F167 L167 D167 J167 H164:H165 H167 J164:J165 N168:N172 N154:N160 L111:L112 D111 L114:L115 F111 J111 H111 D115 F115 F117 L117 D117 J117 H114:H115 H117 J114:J115 N118:N128 L130 L132:L133 D133 F133 F135 L135 D135 J135 H132:H133 H135 J132:J133 N107:N110 J103:J104 H106 H103:H104 J106 D106 L106 F106 F104 D104 L103:L104 L101 D97:D98 H97:H98 J97:J98 F97:F98 L97:L98 J82:J83 H85 H82:H83 J85 D85 L85 F85 F83 D83 L82:L83 L80 N68:N78 J64:J65 H67 H64:H65 J67 D67 L67 F67 F65 N50:N60 J46:J47 H49 D65 H61 J61 F61 L64:L65 D61 L61:L62 H46:H47 J49 D49 L49 F49 F47 D47 L46:L47 L44 N86:N96 D41 H41 J41 F41 L14 L16 H18:H19 D11 H11 J11 F11 L11 D19 L18:L19 H21 J18:J19 J21 D21 L21 F21 N136:N146 J150:J151 H153 H150:H151 J153 D153 L153 F153 F151 D151 L150:L151 L148 F19 J176:J177 H179 H176:H177 J179 D179 L179 F179 F177 D177 L176:L177 L174 N180:N190 H204:H205 D204:D205 L204:L205 F204:F205 J204:J205 N214:N224 J210:J211 H213 H225 J225 F225 D225 L225:L227 H210:H211 J213 D213 L213 F213 F211 D211 L210:L211 L208 N22:N37 F38:F39 J38:J39 H38:H39 D38:D39 L38:L39 L41 L162 N254:N258">
      <formula1>0</formula1>
      <formula2>99999999.99</formula2>
    </dataValidation>
    <dataValidation type="list" allowBlank="1" showInputMessage="1" showErrorMessage="1" sqref="D199:D203 D255:D258 D237:D246 D215:D224 D108:D110 D87:D96 D69:D78 D23:D37 D51:D60 D119:D128 D137:D146 D155:D160 D169:D172 D181:D190">
      <formula1>$D$262:$D$285</formula1>
    </dataValidation>
    <dataValidation type="decimal" operator="greaterThanOrEqual" allowBlank="1" showInputMessage="1" showErrorMessage="1" sqref="H237:H246 H199:H203 J169:J172 H169:H172 J155:J160 H137:H146 H108:H110 J108:J110 H87:H96 J87:J96 H69:H78 J69:J78 H51:H60 J51:J60 J23:J37 H23:H37 J137:J146 H119:H128 H155:H160 J119:J128 H181:H190 J181:J190 H215:H224 J215:J224 J199:J203 J237:J246 H255:H258 J255:J258">
      <formula1>0</formula1>
    </dataValidation>
    <dataValidation type="list" allowBlank="1" showInputMessage="1" showErrorMessage="1" sqref="D14:H14">
      <formula1>$V$14:$V$16</formula1>
    </dataValidation>
  </dataValidations>
  <pageMargins left="0.6692913385826772" right="0.15748031496062992" top="0.31496062992125984" bottom="0.31496062992125984" header="0.15748031496062992" footer="0.11811023622047245"/>
  <pageSetup scale="82" fitToHeight="12" orientation="landscape" r:id="rId1"/>
  <headerFooter>
    <oddFooter xml:space="preserve">&amp;C&amp;"Arial,Italic"&amp;A&amp;R&amp;"Arial,Italic"Page &amp;P of &amp;N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1"/>
  <sheetViews>
    <sheetView topLeftCell="A155" zoomScale="80" zoomScaleNormal="80" workbookViewId="0">
      <selection activeCell="J169" sqref="J169"/>
    </sheetView>
  </sheetViews>
  <sheetFormatPr defaultColWidth="9.140625" defaultRowHeight="12.75" x14ac:dyDescent="0.2"/>
  <cols>
    <col min="1" max="1" width="2.85546875" style="80" customWidth="1"/>
    <col min="2" max="2" width="45.7109375" style="44" customWidth="1"/>
    <col min="3" max="3" width="0.42578125" style="70" customWidth="1"/>
    <col min="4" max="4" width="30.7109375" style="44" customWidth="1"/>
    <col min="5" max="5" width="0.42578125" style="70" customWidth="1"/>
    <col min="6" max="6" width="16.42578125" style="44" customWidth="1"/>
    <col min="7" max="7" width="0.42578125" style="70" customWidth="1"/>
    <col min="8" max="8" width="10.7109375" style="44" customWidth="1"/>
    <col min="9" max="9" width="0.42578125" style="70" customWidth="1"/>
    <col min="10" max="10" width="15" style="44" customWidth="1"/>
    <col min="11" max="11" width="0.42578125" style="70" customWidth="1"/>
    <col min="12" max="12" width="13.7109375" style="44" customWidth="1"/>
    <col min="13" max="13" width="0.42578125" style="70" customWidth="1"/>
    <col min="14" max="14" width="9" style="44" customWidth="1"/>
    <col min="15" max="15" width="34.28515625" style="85" hidden="1" customWidth="1"/>
    <col min="16" max="16" width="9.140625" style="79" hidden="1" customWidth="1"/>
    <col min="17" max="17" width="15.42578125" style="79" hidden="1" customWidth="1"/>
    <col min="18" max="22" width="9.140625" style="79" hidden="1" customWidth="1"/>
    <col min="23" max="16384" width="9.140625" style="79"/>
  </cols>
  <sheetData>
    <row r="1" spans="1:29" ht="22.5" customHeight="1" x14ac:dyDescent="0.2">
      <c r="A1" s="738" t="s">
        <v>333</v>
      </c>
      <c r="B1" s="739"/>
      <c r="C1" s="256"/>
      <c r="D1" s="740" t="str">
        <f>CONCATENATE("B1 - ",P5)</f>
        <v xml:space="preserve">B1 - Grad Prelog </v>
      </c>
      <c r="E1" s="741"/>
      <c r="F1" s="741"/>
      <c r="G1" s="741"/>
      <c r="H1" s="741"/>
      <c r="I1" s="741"/>
      <c r="J1" s="741"/>
      <c r="K1" s="741"/>
      <c r="L1" s="741"/>
      <c r="M1" s="741"/>
      <c r="N1" s="741"/>
      <c r="R1" s="79" t="s">
        <v>167</v>
      </c>
      <c r="S1" s="79" t="s">
        <v>167</v>
      </c>
      <c r="T1" s="79" t="s">
        <v>167</v>
      </c>
    </row>
    <row r="2" spans="1:29" x14ac:dyDescent="0.2">
      <c r="C2" s="44"/>
      <c r="E2" s="44"/>
      <c r="G2" s="44"/>
      <c r="I2" s="44"/>
      <c r="K2" s="44"/>
      <c r="M2" s="44"/>
      <c r="O2" s="44"/>
      <c r="P2" s="44"/>
      <c r="Q2" s="44"/>
      <c r="R2" s="44"/>
      <c r="S2" s="44"/>
      <c r="T2" s="44"/>
      <c r="U2" s="44"/>
      <c r="V2" s="44"/>
      <c r="W2" s="44"/>
      <c r="X2" s="44"/>
      <c r="Y2" s="44"/>
      <c r="Z2" s="44"/>
      <c r="AA2" s="44"/>
      <c r="AB2" s="44"/>
      <c r="AC2" s="44"/>
    </row>
    <row r="3" spans="1:29" x14ac:dyDescent="0.2">
      <c r="B3" s="101" t="s">
        <v>139</v>
      </c>
      <c r="C3" s="44"/>
      <c r="D3" s="712" t="str">
        <f>T('1. General Data'!C14:M14)</f>
        <v>Happy Bike</v>
      </c>
      <c r="E3" s="713"/>
      <c r="F3" s="713"/>
      <c r="G3" s="713"/>
      <c r="H3" s="713"/>
      <c r="I3" s="713"/>
      <c r="J3" s="713"/>
      <c r="K3" s="713"/>
      <c r="L3" s="713"/>
      <c r="M3" s="713"/>
      <c r="N3" s="714"/>
      <c r="O3" s="44"/>
      <c r="P3" s="44"/>
      <c r="Q3" s="44"/>
      <c r="R3" s="44"/>
      <c r="S3" s="44"/>
      <c r="T3" s="44"/>
      <c r="U3" s="44"/>
      <c r="V3" s="44"/>
      <c r="W3" s="44"/>
      <c r="X3" s="44"/>
      <c r="Y3" s="44"/>
      <c r="Z3" s="44"/>
      <c r="AA3" s="44"/>
      <c r="AB3" s="44"/>
      <c r="AC3" s="44"/>
    </row>
    <row r="4" spans="1:29" ht="6" customHeight="1" x14ac:dyDescent="0.2">
      <c r="C4" s="44"/>
      <c r="E4" s="44"/>
      <c r="G4" s="44"/>
      <c r="I4" s="44"/>
      <c r="K4" s="44"/>
      <c r="M4" s="44"/>
      <c r="O4" s="44"/>
      <c r="P4" s="44"/>
      <c r="Q4" s="44"/>
      <c r="R4" s="44"/>
      <c r="S4" s="44"/>
      <c r="T4" s="44"/>
      <c r="U4" s="44"/>
      <c r="V4" s="44"/>
      <c r="W4" s="44"/>
      <c r="X4" s="44"/>
      <c r="Y4" s="44"/>
      <c r="Z4" s="44"/>
      <c r="AA4" s="44"/>
      <c r="AB4" s="44"/>
      <c r="AC4" s="44"/>
    </row>
    <row r="5" spans="1:29" x14ac:dyDescent="0.2">
      <c r="B5" s="101" t="s">
        <v>138</v>
      </c>
      <c r="C5" s="44"/>
      <c r="D5" s="712" t="str">
        <f>T(LEFT('2. LB data'!C5,80))</f>
        <v>Letenye Város Önkormányzata</v>
      </c>
      <c r="E5" s="713"/>
      <c r="F5" s="713"/>
      <c r="G5" s="713"/>
      <c r="H5" s="713"/>
      <c r="I5" s="713"/>
      <c r="J5" s="713"/>
      <c r="K5" s="713"/>
      <c r="L5" s="713"/>
      <c r="M5" s="713"/>
      <c r="N5" s="714"/>
      <c r="O5" s="44"/>
      <c r="P5" s="236" t="str">
        <f>LEFT('2. B1 data'!C5,80)</f>
        <v xml:space="preserve">Grad Prelog </v>
      </c>
      <c r="Q5" s="44"/>
      <c r="R5" s="44"/>
      <c r="S5" s="44"/>
      <c r="T5" s="44"/>
      <c r="U5" s="44"/>
      <c r="V5" s="44"/>
      <c r="W5" s="44"/>
      <c r="X5" s="44"/>
      <c r="Y5" s="44"/>
      <c r="Z5" s="44"/>
      <c r="AA5" s="44"/>
      <c r="AB5" s="44"/>
      <c r="AC5" s="44"/>
    </row>
    <row r="6" spans="1:29" x14ac:dyDescent="0.2">
      <c r="B6" s="152"/>
      <c r="D6" s="152"/>
      <c r="F6" s="152"/>
      <c r="H6" s="152"/>
      <c r="J6" s="152"/>
      <c r="L6" s="152"/>
    </row>
    <row r="7" spans="1:29" x14ac:dyDescent="0.2">
      <c r="B7" s="152"/>
      <c r="D7" s="152"/>
      <c r="F7" s="152"/>
      <c r="H7" s="152"/>
      <c r="J7" s="152"/>
      <c r="L7" s="152"/>
    </row>
    <row r="8" spans="1:29" ht="28.5" customHeight="1" x14ac:dyDescent="0.2">
      <c r="A8" s="269" t="s">
        <v>30</v>
      </c>
      <c r="B8" s="289" t="s">
        <v>39</v>
      </c>
      <c r="C8" s="281"/>
      <c r="D8" s="767" t="s">
        <v>652</v>
      </c>
      <c r="E8" s="768"/>
      <c r="F8" s="768"/>
      <c r="G8" s="768"/>
      <c r="H8" s="769"/>
      <c r="I8" s="281"/>
      <c r="J8" s="289" t="s">
        <v>18</v>
      </c>
      <c r="K8" s="282"/>
      <c r="L8" s="284">
        <f>L10+L12+L40+L42+L99+L206+L228</f>
        <v>279255</v>
      </c>
      <c r="M8" s="283"/>
      <c r="N8" s="290">
        <f>IF(L$8=0,0%,L8/L$8)</f>
        <v>1</v>
      </c>
      <c r="O8" s="85">
        <f>IF(O10&gt;0,D8,0)</f>
        <v>0</v>
      </c>
      <c r="P8" s="231"/>
      <c r="Q8" s="231" t="str">
        <f>IF(AND(Q10=P8,Q17=P8,Q149=P8,Q248=P8)," ",D8)</f>
        <v xml:space="preserve"> </v>
      </c>
    </row>
    <row r="9" spans="1:29" s="76" customFormat="1" ht="3" customHeight="1" x14ac:dyDescent="0.2">
      <c r="A9" s="87"/>
      <c r="B9" s="88"/>
      <c r="C9" s="88"/>
      <c r="D9" s="70"/>
      <c r="E9" s="70"/>
      <c r="F9" s="70"/>
      <c r="G9" s="70"/>
      <c r="H9" s="70"/>
      <c r="I9" s="70"/>
      <c r="J9" s="70"/>
      <c r="K9" s="88"/>
      <c r="L9" s="281"/>
      <c r="M9" s="70"/>
      <c r="N9" s="70"/>
      <c r="O9" s="89"/>
    </row>
    <row r="10" spans="1:29" ht="27" customHeight="1" x14ac:dyDescent="0.2">
      <c r="A10" s="247">
        <v>1</v>
      </c>
      <c r="B10" s="248" t="s">
        <v>60</v>
      </c>
      <c r="C10" s="249"/>
      <c r="D10" s="764" t="s">
        <v>280</v>
      </c>
      <c r="E10" s="765"/>
      <c r="F10" s="765"/>
      <c r="G10" s="765"/>
      <c r="H10" s="766"/>
      <c r="I10" s="250"/>
      <c r="J10" s="251" t="s">
        <v>18</v>
      </c>
      <c r="K10" s="249"/>
      <c r="L10" s="357">
        <v>0</v>
      </c>
      <c r="M10" s="287"/>
      <c r="N10" s="288">
        <f>IF(L10=0,0%,L10/L$8)</f>
        <v>0</v>
      </c>
      <c r="O10" s="497">
        <f>SUM(O11:O260)</f>
        <v>0</v>
      </c>
      <c r="P10" s="231"/>
      <c r="Q10" s="231" t="str">
        <f>IF(N10&gt;P10,D10,"")</f>
        <v/>
      </c>
    </row>
    <row r="11" spans="1:29" x14ac:dyDescent="0.2">
      <c r="B11" s="104"/>
      <c r="C11" s="88"/>
      <c r="D11" s="81"/>
      <c r="F11" s="81"/>
      <c r="H11" s="81"/>
      <c r="J11" s="81"/>
      <c r="K11" s="88"/>
      <c r="L11" s="81"/>
      <c r="N11" s="227"/>
    </row>
    <row r="12" spans="1:29" ht="27" customHeight="1" x14ac:dyDescent="0.2">
      <c r="A12" s="247">
        <v>2</v>
      </c>
      <c r="B12" s="248" t="s">
        <v>285</v>
      </c>
      <c r="C12" s="249"/>
      <c r="D12" s="770" t="str">
        <f>IF(AND(L14&gt;0,L16&gt;0),"Calculation of staff costs should be either on flat rate or on real cost basis (both options cannot be used together)!"," ")</f>
        <v xml:space="preserve"> </v>
      </c>
      <c r="E12" s="771"/>
      <c r="F12" s="771"/>
      <c r="G12" s="771"/>
      <c r="H12" s="772"/>
      <c r="I12" s="250"/>
      <c r="J12" s="251" t="s">
        <v>18</v>
      </c>
      <c r="K12" s="249"/>
      <c r="L12" s="252">
        <f>IF(L14&gt;0,L14,L16)</f>
        <v>28000</v>
      </c>
      <c r="M12" s="250"/>
      <c r="N12" s="253">
        <f>IF(L12=0,0%,L12/L$8)</f>
        <v>0.10026678125727381</v>
      </c>
      <c r="O12" s="495">
        <f>IF(LEN(D12)&gt;1,1,0)</f>
        <v>0</v>
      </c>
      <c r="P12" s="95"/>
    </row>
    <row r="13" spans="1:29" s="76" customFormat="1" ht="7.5" customHeight="1" x14ac:dyDescent="0.2">
      <c r="A13" s="87"/>
      <c r="B13" s="88"/>
      <c r="C13" s="88"/>
      <c r="D13" s="70"/>
      <c r="E13" s="70"/>
      <c r="F13" s="70"/>
      <c r="G13" s="70"/>
      <c r="H13" s="70"/>
      <c r="I13" s="70"/>
      <c r="J13" s="70"/>
      <c r="K13" s="88"/>
      <c r="L13" s="70"/>
      <c r="M13" s="70"/>
      <c r="N13" s="70"/>
      <c r="O13" s="89"/>
      <c r="V13" s="79"/>
    </row>
    <row r="14" spans="1:29" ht="25.5" x14ac:dyDescent="0.2">
      <c r="A14" s="347"/>
      <c r="B14" s="348" t="s">
        <v>313</v>
      </c>
      <c r="C14" s="345"/>
      <c r="D14" s="777" t="s">
        <v>723</v>
      </c>
      <c r="E14" s="778"/>
      <c r="F14" s="778"/>
      <c r="G14" s="778"/>
      <c r="H14" s="779"/>
      <c r="I14" s="346"/>
      <c r="J14" s="349" t="s">
        <v>18</v>
      </c>
      <c r="K14" s="88"/>
      <c r="L14" s="156">
        <f>FLOOR(IF(D14=V15,IF((L228&gt;0),IF((L99+L208+L228)*0.1&gt;P14,P14,(L99+L208+L228)*0.1),IF((L99+L208+L228)*0.2&gt;P14,P14,(L99+L208+L228)*0.2)),0),0.01)</f>
        <v>0</v>
      </c>
      <c r="M14" s="246"/>
      <c r="N14" s="147">
        <f>IF(L14=0,0%,L14/L$8)</f>
        <v>0</v>
      </c>
      <c r="O14" s="353"/>
      <c r="P14" s="356">
        <v>100000</v>
      </c>
      <c r="Q14" s="231" t="str">
        <f>IF(L14&gt;P14,D14,"")</f>
        <v/>
      </c>
      <c r="R14" s="79" t="e">
        <f>IF(AND(R20="NOT",R21="NOT",R22="NOT",R23="NOT",R24="NOT",R25="NOT",S20="NOT",S21="NOT",S22="NOT",S23="NOT",S24="NOT",S25="NOT",T20="NOT",T21="NOT",T22="NOT",T23="NOT",T24="NOT",T25="NOT",#REF!="NOT"),"NOT",D14)</f>
        <v>#REF!</v>
      </c>
      <c r="V14" s="79" t="s">
        <v>282</v>
      </c>
    </row>
    <row r="15" spans="1:29" s="76" customFormat="1" ht="27" customHeight="1" x14ac:dyDescent="0.2">
      <c r="A15" s="87"/>
      <c r="B15" s="780" t="s">
        <v>599</v>
      </c>
      <c r="C15" s="781"/>
      <c r="D15" s="781"/>
      <c r="E15" s="781"/>
      <c r="F15" s="781"/>
      <c r="G15" s="781"/>
      <c r="H15" s="781"/>
      <c r="I15" s="781"/>
      <c r="J15" s="781"/>
      <c r="K15" s="781"/>
      <c r="L15" s="781"/>
      <c r="M15" s="70"/>
      <c r="N15" s="70"/>
      <c r="O15" s="353"/>
      <c r="P15" s="354"/>
      <c r="Q15" s="355"/>
      <c r="V15" s="79" t="s">
        <v>644</v>
      </c>
    </row>
    <row r="16" spans="1:29" ht="25.5" customHeight="1" x14ac:dyDescent="0.2">
      <c r="A16" s="347"/>
      <c r="B16" s="348" t="s">
        <v>281</v>
      </c>
      <c r="C16" s="345"/>
      <c r="D16" s="773" t="s">
        <v>166</v>
      </c>
      <c r="E16" s="774"/>
      <c r="F16" s="774"/>
      <c r="G16" s="774"/>
      <c r="H16" s="775"/>
      <c r="I16" s="346"/>
      <c r="J16" s="349" t="s">
        <v>18</v>
      </c>
      <c r="K16" s="88"/>
      <c r="L16" s="156">
        <f>SUM(L23:L37)</f>
        <v>28000</v>
      </c>
      <c r="M16" s="246"/>
      <c r="N16" s="147">
        <f>IF(L16=0,0%,L16/L$8)</f>
        <v>0.10026678125727381</v>
      </c>
      <c r="O16" s="495">
        <f>IF(LEN(R16)&gt;3,1,0)</f>
        <v>0</v>
      </c>
      <c r="R16" s="494" t="str">
        <f>IF(AND(R22="NOT",S22="NOT",T22="NOT",R18="NOT"),"NOT",D16)</f>
        <v>NOT</v>
      </c>
      <c r="V16" s="79" t="s">
        <v>283</v>
      </c>
    </row>
    <row r="17" spans="1:22" s="76" customFormat="1" ht="15" customHeight="1" x14ac:dyDescent="0.2">
      <c r="A17" s="87"/>
      <c r="B17" s="752"/>
      <c r="C17" s="776"/>
      <c r="D17" s="776"/>
      <c r="E17" s="776"/>
      <c r="F17" s="776"/>
      <c r="G17" s="776"/>
      <c r="H17" s="776"/>
      <c r="I17" s="776"/>
      <c r="J17" s="776"/>
      <c r="K17" s="776"/>
      <c r="L17" s="776"/>
      <c r="M17" s="70"/>
      <c r="N17" s="70"/>
      <c r="O17" s="353"/>
      <c r="P17" s="271"/>
      <c r="Q17" s="231"/>
      <c r="V17" s="79"/>
    </row>
    <row r="18" spans="1:22" x14ac:dyDescent="0.2">
      <c r="B18" s="742" t="s">
        <v>84</v>
      </c>
      <c r="C18" s="743"/>
      <c r="D18" s="743"/>
      <c r="E18" s="743"/>
      <c r="F18" s="743"/>
      <c r="H18" s="81"/>
      <c r="J18" s="81"/>
      <c r="K18" s="88"/>
      <c r="L18" s="81"/>
      <c r="N18" s="227"/>
      <c r="R18" s="494" t="str">
        <f>IF(AND(($L16&gt;0),ISBLANK(B20)),B18,"NOT")</f>
        <v>NOT</v>
      </c>
    </row>
    <row r="19" spans="1:22" ht="3" customHeight="1" x14ac:dyDescent="0.2">
      <c r="B19" s="104"/>
      <c r="C19" s="88"/>
      <c r="D19" s="81"/>
      <c r="F19" s="81"/>
      <c r="H19" s="81"/>
      <c r="J19" s="81"/>
      <c r="K19" s="88"/>
      <c r="L19" s="81"/>
      <c r="N19" s="227"/>
    </row>
    <row r="20" spans="1:22" ht="81" customHeight="1" x14ac:dyDescent="0.2">
      <c r="B20" s="790" t="s">
        <v>1066</v>
      </c>
      <c r="C20" s="745"/>
      <c r="D20" s="745"/>
      <c r="E20" s="745"/>
      <c r="F20" s="745"/>
      <c r="G20" s="745"/>
      <c r="H20" s="745"/>
      <c r="I20" s="745"/>
      <c r="J20" s="745"/>
      <c r="K20" s="745"/>
      <c r="L20" s="746"/>
      <c r="M20" s="70" t="s">
        <v>19</v>
      </c>
      <c r="N20" s="227"/>
    </row>
    <row r="21" spans="1:22" ht="3.75" customHeight="1" x14ac:dyDescent="0.2">
      <c r="B21" s="104"/>
      <c r="C21" s="88"/>
      <c r="D21" s="81"/>
      <c r="F21" s="81"/>
      <c r="H21" s="81"/>
      <c r="J21" s="81"/>
      <c r="K21" s="88"/>
      <c r="L21" s="81"/>
      <c r="N21" s="227"/>
    </row>
    <row r="22" spans="1:22" ht="38.25" x14ac:dyDescent="0.2">
      <c r="B22" s="244" t="s">
        <v>201</v>
      </c>
      <c r="C22" s="88"/>
      <c r="D22" s="244" t="s">
        <v>580</v>
      </c>
      <c r="F22" s="244" t="s">
        <v>205</v>
      </c>
      <c r="H22" s="244" t="s">
        <v>16</v>
      </c>
      <c r="J22" s="244" t="s">
        <v>15</v>
      </c>
      <c r="K22" s="245"/>
      <c r="L22" s="103" t="s">
        <v>141</v>
      </c>
      <c r="N22" s="81"/>
      <c r="R22" s="496" t="str">
        <f>IF(AND(R23="NOT",R24="NOT",R25="NOT",R26="NOT",R27="NOT",R28="NOT",R29="NOT",R30="NOT",R31="NOT",R32="NOT",R33="NOT",R34="NOT",R35="NOT",R36="NOT",R37="NOT"),"NOT",1)</f>
        <v>NOT</v>
      </c>
      <c r="S22" s="496" t="str">
        <f>IF(AND(S23="NOT",S24="NOT",S25="NOT",S26="NOT",S27="NOT",S28="NOT",S29="NOT",S30="NOT",S31="NOT",S32="NOT",S33="NOT",S34="NOT",S35="NOT",S36="NOT",S37="NOT"),"NOT",1)</f>
        <v>NOT</v>
      </c>
      <c r="T22" s="496" t="str">
        <f>IF(AND(T23="NOT",T24="NOT",T25="NOT",T26="NOT",T27="NOT",T28="NOT",T29="NOT",T30="NOT",T31="NOT",T32="NOT",T33="NOT",T34="NOT",T35="NOT",T36="NOT",T37="NOT"),"NOT",1)</f>
        <v>NOT</v>
      </c>
    </row>
    <row r="23" spans="1:22" ht="25.5" x14ac:dyDescent="0.2">
      <c r="B23" s="536" t="s">
        <v>1056</v>
      </c>
      <c r="C23" s="88"/>
      <c r="D23" s="260" t="s">
        <v>724</v>
      </c>
      <c r="E23" s="243"/>
      <c r="F23" s="261" t="s">
        <v>85</v>
      </c>
      <c r="G23" s="243"/>
      <c r="H23" s="262">
        <v>20</v>
      </c>
      <c r="I23" s="243"/>
      <c r="J23" s="262">
        <v>750</v>
      </c>
      <c r="K23" s="88"/>
      <c r="L23" s="143">
        <f t="shared" ref="L23:L37" si="0">TRUNC(H23*J23,2)</f>
        <v>15000</v>
      </c>
      <c r="N23" s="81"/>
      <c r="R23" s="79" t="str">
        <f t="shared" ref="R23:R37" si="1">IF(AND(($L23&gt;0),ISBLANK(B23)),B23,"NOT")</f>
        <v>NOT</v>
      </c>
      <c r="S23" s="79" t="str">
        <f t="shared" ref="S23:S37" si="2">IF(AND(($L23&gt;0),ISBLANK(D23)),D23,"NOT")</f>
        <v>NOT</v>
      </c>
      <c r="T23" s="79" t="str">
        <f t="shared" ref="T23:T37" si="3">IF(AND(($L23&gt;0),ISBLANK(F23)),F23,"NOT")</f>
        <v>NOT</v>
      </c>
      <c r="V23" s="79" t="str">
        <f>LEFT(D23,3)</f>
        <v xml:space="preserve">1. </v>
      </c>
    </row>
    <row r="24" spans="1:22" x14ac:dyDescent="0.2">
      <c r="B24" s="526" t="s">
        <v>1065</v>
      </c>
      <c r="C24" s="88"/>
      <c r="D24" s="260" t="s">
        <v>735</v>
      </c>
      <c r="E24" s="243"/>
      <c r="F24" s="261" t="s">
        <v>85</v>
      </c>
      <c r="G24" s="243"/>
      <c r="H24" s="262">
        <v>20</v>
      </c>
      <c r="I24" s="243"/>
      <c r="J24" s="262">
        <v>650</v>
      </c>
      <c r="K24" s="88"/>
      <c r="L24" s="143">
        <f t="shared" si="0"/>
        <v>13000</v>
      </c>
      <c r="N24" s="81"/>
      <c r="R24" s="79" t="str">
        <f t="shared" si="1"/>
        <v>NOT</v>
      </c>
      <c r="S24" s="79" t="str">
        <f t="shared" si="2"/>
        <v>NOT</v>
      </c>
      <c r="T24" s="79" t="str">
        <f t="shared" si="3"/>
        <v>NOT</v>
      </c>
      <c r="V24" s="79" t="str">
        <f t="shared" ref="V24:V78" si="4">LEFT(D24,3)</f>
        <v xml:space="preserve">2. </v>
      </c>
    </row>
    <row r="25" spans="1:22" x14ac:dyDescent="0.2">
      <c r="B25" s="259"/>
      <c r="C25" s="88"/>
      <c r="D25" s="260"/>
      <c r="E25" s="243"/>
      <c r="F25" s="261" t="s">
        <v>85</v>
      </c>
      <c r="G25" s="243"/>
      <c r="H25" s="262"/>
      <c r="I25" s="243"/>
      <c r="J25" s="262"/>
      <c r="K25" s="88"/>
      <c r="L25" s="143">
        <f t="shared" si="0"/>
        <v>0</v>
      </c>
      <c r="N25" s="81"/>
      <c r="R25" s="79" t="str">
        <f t="shared" si="1"/>
        <v>NOT</v>
      </c>
      <c r="S25" s="79" t="str">
        <f t="shared" si="2"/>
        <v>NOT</v>
      </c>
      <c r="T25" s="79" t="str">
        <f t="shared" si="3"/>
        <v>NOT</v>
      </c>
      <c r="V25" s="79" t="str">
        <f t="shared" si="4"/>
        <v/>
      </c>
    </row>
    <row r="26" spans="1:22" x14ac:dyDescent="0.2">
      <c r="B26" s="259"/>
      <c r="C26" s="88"/>
      <c r="D26" s="260"/>
      <c r="E26" s="243"/>
      <c r="F26" s="261" t="s">
        <v>85</v>
      </c>
      <c r="G26" s="243"/>
      <c r="H26" s="262"/>
      <c r="I26" s="243"/>
      <c r="J26" s="262"/>
      <c r="K26" s="88"/>
      <c r="L26" s="143">
        <f t="shared" si="0"/>
        <v>0</v>
      </c>
      <c r="N26" s="81"/>
      <c r="R26" s="79" t="str">
        <f t="shared" si="1"/>
        <v>NOT</v>
      </c>
      <c r="S26" s="79" t="str">
        <f t="shared" si="2"/>
        <v>NOT</v>
      </c>
      <c r="T26" s="79" t="str">
        <f t="shared" si="3"/>
        <v>NOT</v>
      </c>
      <c r="V26" s="79" t="str">
        <f t="shared" si="4"/>
        <v/>
      </c>
    </row>
    <row r="27" spans="1:22" x14ac:dyDescent="0.2">
      <c r="B27" s="259"/>
      <c r="C27" s="88"/>
      <c r="D27" s="260"/>
      <c r="E27" s="243"/>
      <c r="F27" s="261" t="s">
        <v>85</v>
      </c>
      <c r="G27" s="243"/>
      <c r="H27" s="262"/>
      <c r="I27" s="243"/>
      <c r="J27" s="262"/>
      <c r="K27" s="88"/>
      <c r="L27" s="143">
        <f t="shared" si="0"/>
        <v>0</v>
      </c>
      <c r="N27" s="81"/>
      <c r="R27" s="79" t="str">
        <f t="shared" si="1"/>
        <v>NOT</v>
      </c>
      <c r="S27" s="79" t="str">
        <f t="shared" si="2"/>
        <v>NOT</v>
      </c>
      <c r="T27" s="79" t="str">
        <f t="shared" si="3"/>
        <v>NOT</v>
      </c>
      <c r="V27" s="79" t="str">
        <f t="shared" si="4"/>
        <v/>
      </c>
    </row>
    <row r="28" spans="1:22" x14ac:dyDescent="0.2">
      <c r="B28" s="259"/>
      <c r="C28" s="88"/>
      <c r="D28" s="260"/>
      <c r="E28" s="243"/>
      <c r="F28" s="261" t="s">
        <v>85</v>
      </c>
      <c r="G28" s="243"/>
      <c r="H28" s="262"/>
      <c r="I28" s="243"/>
      <c r="J28" s="262"/>
      <c r="K28" s="88"/>
      <c r="L28" s="143">
        <f t="shared" si="0"/>
        <v>0</v>
      </c>
      <c r="N28" s="81"/>
      <c r="R28" s="79" t="str">
        <f t="shared" si="1"/>
        <v>NOT</v>
      </c>
      <c r="S28" s="79" t="str">
        <f t="shared" si="2"/>
        <v>NOT</v>
      </c>
      <c r="T28" s="79" t="str">
        <f t="shared" si="3"/>
        <v>NOT</v>
      </c>
      <c r="V28" s="79" t="str">
        <f t="shared" si="4"/>
        <v/>
      </c>
    </row>
    <row r="29" spans="1:22" x14ac:dyDescent="0.2">
      <c r="B29" s="259"/>
      <c r="C29" s="88"/>
      <c r="D29" s="260"/>
      <c r="E29" s="243"/>
      <c r="F29" s="261" t="s">
        <v>85</v>
      </c>
      <c r="G29" s="243"/>
      <c r="H29" s="262"/>
      <c r="I29" s="243"/>
      <c r="J29" s="262"/>
      <c r="K29" s="88"/>
      <c r="L29" s="143">
        <f t="shared" si="0"/>
        <v>0</v>
      </c>
      <c r="N29" s="81"/>
      <c r="R29" s="79" t="str">
        <f t="shared" si="1"/>
        <v>NOT</v>
      </c>
      <c r="S29" s="79" t="str">
        <f t="shared" si="2"/>
        <v>NOT</v>
      </c>
      <c r="T29" s="79" t="str">
        <f t="shared" si="3"/>
        <v>NOT</v>
      </c>
      <c r="V29" s="79" t="str">
        <f t="shared" si="4"/>
        <v/>
      </c>
    </row>
    <row r="30" spans="1:22" x14ac:dyDescent="0.2">
      <c r="B30" s="259"/>
      <c r="C30" s="88"/>
      <c r="D30" s="260"/>
      <c r="E30" s="243"/>
      <c r="F30" s="261" t="s">
        <v>85</v>
      </c>
      <c r="G30" s="243"/>
      <c r="H30" s="262"/>
      <c r="I30" s="243"/>
      <c r="J30" s="262"/>
      <c r="K30" s="88"/>
      <c r="L30" s="143">
        <f t="shared" si="0"/>
        <v>0</v>
      </c>
      <c r="N30" s="81"/>
      <c r="R30" s="79" t="str">
        <f t="shared" si="1"/>
        <v>NOT</v>
      </c>
      <c r="S30" s="79" t="str">
        <f t="shared" si="2"/>
        <v>NOT</v>
      </c>
      <c r="T30" s="79" t="str">
        <f t="shared" si="3"/>
        <v>NOT</v>
      </c>
      <c r="V30" s="79" t="str">
        <f t="shared" si="4"/>
        <v/>
      </c>
    </row>
    <row r="31" spans="1:22" x14ac:dyDescent="0.2">
      <c r="B31" s="259"/>
      <c r="C31" s="88"/>
      <c r="D31" s="260"/>
      <c r="E31" s="243"/>
      <c r="F31" s="261" t="s">
        <v>85</v>
      </c>
      <c r="G31" s="243"/>
      <c r="H31" s="262"/>
      <c r="I31" s="243"/>
      <c r="J31" s="262"/>
      <c r="K31" s="88"/>
      <c r="L31" s="143">
        <f t="shared" si="0"/>
        <v>0</v>
      </c>
      <c r="N31" s="81"/>
      <c r="R31" s="79" t="str">
        <f t="shared" si="1"/>
        <v>NOT</v>
      </c>
      <c r="S31" s="79" t="str">
        <f t="shared" si="2"/>
        <v>NOT</v>
      </c>
      <c r="T31" s="79" t="str">
        <f t="shared" si="3"/>
        <v>NOT</v>
      </c>
      <c r="V31" s="79" t="str">
        <f t="shared" si="4"/>
        <v/>
      </c>
    </row>
    <row r="32" spans="1:22" x14ac:dyDescent="0.2">
      <c r="B32" s="259"/>
      <c r="C32" s="88"/>
      <c r="D32" s="260"/>
      <c r="E32" s="243"/>
      <c r="F32" s="261" t="s">
        <v>85</v>
      </c>
      <c r="G32" s="243"/>
      <c r="H32" s="262"/>
      <c r="I32" s="243"/>
      <c r="J32" s="262"/>
      <c r="K32" s="88"/>
      <c r="L32" s="143">
        <f t="shared" si="0"/>
        <v>0</v>
      </c>
      <c r="N32" s="81"/>
      <c r="R32" s="79" t="str">
        <f t="shared" si="1"/>
        <v>NOT</v>
      </c>
      <c r="S32" s="79" t="str">
        <f t="shared" si="2"/>
        <v>NOT</v>
      </c>
      <c r="T32" s="79" t="str">
        <f t="shared" si="3"/>
        <v>NOT</v>
      </c>
      <c r="V32" s="79" t="str">
        <f t="shared" si="4"/>
        <v/>
      </c>
    </row>
    <row r="33" spans="1:22" x14ac:dyDescent="0.2">
      <c r="B33" s="259"/>
      <c r="C33" s="88"/>
      <c r="D33" s="260"/>
      <c r="E33" s="243"/>
      <c r="F33" s="261" t="s">
        <v>85</v>
      </c>
      <c r="G33" s="243"/>
      <c r="H33" s="262"/>
      <c r="I33" s="243"/>
      <c r="J33" s="262"/>
      <c r="K33" s="88"/>
      <c r="L33" s="143">
        <f t="shared" si="0"/>
        <v>0</v>
      </c>
      <c r="N33" s="81"/>
      <c r="R33" s="79" t="str">
        <f t="shared" si="1"/>
        <v>NOT</v>
      </c>
      <c r="S33" s="79" t="str">
        <f t="shared" si="2"/>
        <v>NOT</v>
      </c>
      <c r="T33" s="79" t="str">
        <f t="shared" si="3"/>
        <v>NOT</v>
      </c>
      <c r="V33" s="79" t="str">
        <f t="shared" si="4"/>
        <v/>
      </c>
    </row>
    <row r="34" spans="1:22" x14ac:dyDescent="0.2">
      <c r="B34" s="259"/>
      <c r="C34" s="88"/>
      <c r="D34" s="260"/>
      <c r="E34" s="243"/>
      <c r="F34" s="261" t="s">
        <v>85</v>
      </c>
      <c r="G34" s="243"/>
      <c r="H34" s="262"/>
      <c r="I34" s="243"/>
      <c r="J34" s="262"/>
      <c r="K34" s="88"/>
      <c r="L34" s="143">
        <f t="shared" si="0"/>
        <v>0</v>
      </c>
      <c r="N34" s="81"/>
      <c r="R34" s="79" t="str">
        <f t="shared" si="1"/>
        <v>NOT</v>
      </c>
      <c r="S34" s="79" t="str">
        <f t="shared" si="2"/>
        <v>NOT</v>
      </c>
      <c r="T34" s="79" t="str">
        <f t="shared" si="3"/>
        <v>NOT</v>
      </c>
      <c r="V34" s="79" t="str">
        <f t="shared" si="4"/>
        <v/>
      </c>
    </row>
    <row r="35" spans="1:22" x14ac:dyDescent="0.2">
      <c r="B35" s="259"/>
      <c r="C35" s="88"/>
      <c r="D35" s="260"/>
      <c r="E35" s="243"/>
      <c r="F35" s="261" t="s">
        <v>85</v>
      </c>
      <c r="G35" s="243"/>
      <c r="H35" s="262"/>
      <c r="I35" s="243"/>
      <c r="J35" s="262"/>
      <c r="K35" s="88"/>
      <c r="L35" s="143">
        <f t="shared" si="0"/>
        <v>0</v>
      </c>
      <c r="N35" s="81"/>
      <c r="R35" s="79" t="str">
        <f t="shared" si="1"/>
        <v>NOT</v>
      </c>
      <c r="S35" s="79" t="str">
        <f t="shared" si="2"/>
        <v>NOT</v>
      </c>
      <c r="T35" s="79" t="str">
        <f t="shared" si="3"/>
        <v>NOT</v>
      </c>
      <c r="V35" s="79" t="str">
        <f t="shared" si="4"/>
        <v/>
      </c>
    </row>
    <row r="36" spans="1:22" x14ac:dyDescent="0.2">
      <c r="B36" s="259"/>
      <c r="C36" s="88"/>
      <c r="D36" s="260"/>
      <c r="E36" s="243"/>
      <c r="F36" s="261" t="s">
        <v>85</v>
      </c>
      <c r="G36" s="243"/>
      <c r="H36" s="262"/>
      <c r="I36" s="243"/>
      <c r="J36" s="262"/>
      <c r="K36" s="88"/>
      <c r="L36" s="143">
        <f t="shared" si="0"/>
        <v>0</v>
      </c>
      <c r="N36" s="81"/>
      <c r="R36" s="79" t="str">
        <f t="shared" si="1"/>
        <v>NOT</v>
      </c>
      <c r="S36" s="79" t="str">
        <f t="shared" si="2"/>
        <v>NOT</v>
      </c>
      <c r="T36" s="79" t="str">
        <f t="shared" si="3"/>
        <v>NOT</v>
      </c>
      <c r="V36" s="79" t="str">
        <f t="shared" si="4"/>
        <v/>
      </c>
    </row>
    <row r="37" spans="1:22" x14ac:dyDescent="0.2">
      <c r="B37" s="259"/>
      <c r="C37" s="88"/>
      <c r="D37" s="260"/>
      <c r="E37" s="243"/>
      <c r="F37" s="261" t="s">
        <v>85</v>
      </c>
      <c r="G37" s="243"/>
      <c r="H37" s="262"/>
      <c r="I37" s="243"/>
      <c r="J37" s="262"/>
      <c r="K37" s="88"/>
      <c r="L37" s="143">
        <f t="shared" si="0"/>
        <v>0</v>
      </c>
      <c r="N37" s="81"/>
      <c r="R37" s="79" t="str">
        <f t="shared" si="1"/>
        <v>NOT</v>
      </c>
      <c r="S37" s="79" t="str">
        <f t="shared" si="2"/>
        <v>NOT</v>
      </c>
      <c r="T37" s="79" t="str">
        <f t="shared" si="3"/>
        <v>NOT</v>
      </c>
      <c r="V37" s="79" t="str">
        <f t="shared" si="4"/>
        <v/>
      </c>
    </row>
    <row r="38" spans="1:22" x14ac:dyDescent="0.2">
      <c r="B38" s="104"/>
      <c r="C38" s="88"/>
      <c r="D38" s="81"/>
      <c r="F38" s="81"/>
      <c r="H38" s="81"/>
      <c r="J38" s="81"/>
      <c r="K38" s="88"/>
      <c r="L38" s="81"/>
      <c r="N38" s="227"/>
    </row>
    <row r="39" spans="1:22" x14ac:dyDescent="0.2">
      <c r="B39" s="104"/>
      <c r="C39" s="88"/>
      <c r="D39" s="81"/>
      <c r="F39" s="81"/>
      <c r="H39" s="81"/>
      <c r="J39" s="81"/>
      <c r="K39" s="88"/>
      <c r="L39" s="81"/>
      <c r="N39" s="227"/>
    </row>
    <row r="40" spans="1:22" ht="27" customHeight="1" x14ac:dyDescent="0.2">
      <c r="A40" s="247">
        <v>3</v>
      </c>
      <c r="B40" s="248" t="s">
        <v>284</v>
      </c>
      <c r="C40" s="249"/>
      <c r="D40" s="783" t="s">
        <v>305</v>
      </c>
      <c r="E40" s="765"/>
      <c r="F40" s="765"/>
      <c r="G40" s="765"/>
      <c r="H40" s="766"/>
      <c r="I40" s="250"/>
      <c r="J40" s="251" t="s">
        <v>18</v>
      </c>
      <c r="K40" s="249"/>
      <c r="L40" s="252">
        <f>ROUNDDOWN(L12*0.15,2)</f>
        <v>4200</v>
      </c>
      <c r="M40" s="250"/>
      <c r="N40" s="253">
        <f>IF(L40=0,0%,L40/L$8)</f>
        <v>1.5040017188591073E-2</v>
      </c>
      <c r="P40" s="270"/>
      <c r="Q40" s="231" t="str">
        <f>IF(N40&gt;P40,D40,"")</f>
        <v>Calculated as a flat rate of 15% of the staff costs</v>
      </c>
      <c r="R40" s="79" t="str">
        <f>IF(OR(N40&gt;O40,N40&gt;P40),"Overhead costs shall not exceed 5 per cent of each partner’s total eligible budget and shall not exceed 25 per cent of the total staff costs in each partner’s budget!","")</f>
        <v>Overhead costs shall not exceed 5 per cent of each partner’s total eligible budget and shall not exceed 25 per cent of the total staff costs in each partner’s budget!</v>
      </c>
      <c r="S40" s="85"/>
    </row>
    <row r="41" spans="1:22" x14ac:dyDescent="0.2">
      <c r="B41" s="104"/>
      <c r="C41" s="88"/>
      <c r="D41" s="81"/>
      <c r="F41" s="81"/>
      <c r="H41" s="81"/>
      <c r="J41" s="81"/>
      <c r="K41" s="88"/>
      <c r="L41" s="81"/>
      <c r="N41" s="227"/>
    </row>
    <row r="42" spans="1:22" ht="27" customHeight="1" x14ac:dyDescent="0.2">
      <c r="A42" s="247">
        <v>4</v>
      </c>
      <c r="B42" s="248" t="s">
        <v>286</v>
      </c>
      <c r="C42" s="249"/>
      <c r="D42" s="784" t="s">
        <v>563</v>
      </c>
      <c r="E42" s="785"/>
      <c r="F42" s="785"/>
      <c r="G42" s="785"/>
      <c r="H42" s="786"/>
      <c r="I42" s="250"/>
      <c r="J42" s="251" t="s">
        <v>18</v>
      </c>
      <c r="K42" s="249"/>
      <c r="L42" s="252">
        <f>IF(L14&gt;0,0,(L44+L62+L80))</f>
        <v>345</v>
      </c>
      <c r="M42" s="250"/>
      <c r="N42" s="253">
        <f>IF(L42=0,0%,L42/L$8)</f>
        <v>1.2354299833485525E-3</v>
      </c>
      <c r="O42" s="495">
        <f>IF(LEN(Q42)&gt;1,1,0)</f>
        <v>0</v>
      </c>
      <c r="P42" s="95"/>
      <c r="Q42" s="79" t="str">
        <f>IF(AND(L14&gt;0,(L44+L62+L80)),D42,"")</f>
        <v/>
      </c>
    </row>
    <row r="43" spans="1:22" s="76" customFormat="1" ht="7.5" customHeight="1" x14ac:dyDescent="0.2">
      <c r="A43" s="87"/>
      <c r="B43" s="88"/>
      <c r="C43" s="88"/>
      <c r="D43" s="70"/>
      <c r="E43" s="70"/>
      <c r="F43" s="70"/>
      <c r="G43" s="70"/>
      <c r="H43" s="70"/>
      <c r="I43" s="70"/>
      <c r="J43" s="70"/>
      <c r="K43" s="88"/>
      <c r="L43" s="70"/>
      <c r="M43" s="70"/>
      <c r="N43" s="70"/>
      <c r="O43" s="89"/>
      <c r="V43" s="79"/>
    </row>
    <row r="44" spans="1:22" ht="13.5" customHeight="1" x14ac:dyDescent="0.2">
      <c r="A44" s="276"/>
      <c r="B44" s="278" t="s">
        <v>287</v>
      </c>
      <c r="C44" s="277"/>
      <c r="D44" s="747" t="s">
        <v>166</v>
      </c>
      <c r="E44" s="748"/>
      <c r="F44" s="748"/>
      <c r="G44" s="748"/>
      <c r="H44" s="748"/>
      <c r="I44" s="279"/>
      <c r="J44" s="280" t="s">
        <v>18</v>
      </c>
      <c r="K44" s="88"/>
      <c r="L44" s="156">
        <f>SUM(L51:L60)</f>
        <v>345</v>
      </c>
      <c r="M44" s="246"/>
      <c r="N44" s="147">
        <f>IF(L44=0,0%,L44/L$8)</f>
        <v>1.2354299833485525E-3</v>
      </c>
      <c r="O44" s="495">
        <f>IF(LEN(R44)&gt;3,1,0)</f>
        <v>0</v>
      </c>
      <c r="R44" s="79" t="str">
        <f>IF(AND(R50="NOT",S50="NOT",T50="NOT"),"NOT",D44)</f>
        <v>NOT</v>
      </c>
    </row>
    <row r="45" spans="1:22" s="76" customFormat="1" ht="3" customHeight="1" x14ac:dyDescent="0.2">
      <c r="A45" s="87"/>
      <c r="B45" s="88"/>
      <c r="C45" s="88"/>
      <c r="D45" s="70"/>
      <c r="E45" s="70"/>
      <c r="F45" s="70"/>
      <c r="G45" s="70"/>
      <c r="H45" s="70"/>
      <c r="I45" s="70"/>
      <c r="J45" s="70"/>
      <c r="K45" s="88"/>
      <c r="L45" s="70"/>
      <c r="M45" s="70"/>
      <c r="N45" s="70"/>
      <c r="O45" s="89"/>
      <c r="V45" s="79"/>
    </row>
    <row r="46" spans="1:22" x14ac:dyDescent="0.2">
      <c r="B46" s="742" t="s">
        <v>197</v>
      </c>
      <c r="C46" s="743"/>
      <c r="D46" s="743"/>
      <c r="E46" s="743"/>
      <c r="F46" s="743"/>
      <c r="H46" s="81"/>
      <c r="J46" s="81"/>
      <c r="K46" s="88"/>
      <c r="L46" s="81"/>
      <c r="N46" s="227"/>
      <c r="R46" s="79" t="str">
        <f>IF(AND(($L44&gt;0),ISBLANK(B48)),B46,"NOT")</f>
        <v>NOT</v>
      </c>
    </row>
    <row r="47" spans="1:22" ht="3" customHeight="1" x14ac:dyDescent="0.2">
      <c r="B47" s="104"/>
      <c r="C47" s="88"/>
      <c r="D47" s="81"/>
      <c r="F47" s="81"/>
      <c r="H47" s="81"/>
      <c r="J47" s="81"/>
      <c r="K47" s="88"/>
      <c r="L47" s="81"/>
      <c r="N47" s="227"/>
    </row>
    <row r="48" spans="1:22" ht="50.25" customHeight="1" x14ac:dyDescent="0.2">
      <c r="B48" s="763" t="s">
        <v>787</v>
      </c>
      <c r="C48" s="745"/>
      <c r="D48" s="745"/>
      <c r="E48" s="745"/>
      <c r="F48" s="745"/>
      <c r="G48" s="745"/>
      <c r="H48" s="745"/>
      <c r="I48" s="745"/>
      <c r="J48" s="745"/>
      <c r="K48" s="745"/>
      <c r="L48" s="746"/>
      <c r="M48" s="70" t="s">
        <v>19</v>
      </c>
      <c r="N48" s="227"/>
    </row>
    <row r="49" spans="1:22" ht="3.75" customHeight="1" x14ac:dyDescent="0.2">
      <c r="B49" s="104"/>
      <c r="C49" s="88"/>
      <c r="D49" s="81"/>
      <c r="F49" s="81"/>
      <c r="H49" s="81"/>
      <c r="J49" s="81"/>
      <c r="K49" s="88"/>
      <c r="L49" s="81"/>
      <c r="N49" s="227"/>
    </row>
    <row r="50" spans="1:22" ht="12.75" customHeight="1" x14ac:dyDescent="0.2">
      <c r="B50" s="244" t="s">
        <v>17</v>
      </c>
      <c r="C50" s="88"/>
      <c r="D50" s="244" t="s">
        <v>580</v>
      </c>
      <c r="F50" s="244" t="s">
        <v>205</v>
      </c>
      <c r="H50" s="244" t="s">
        <v>16</v>
      </c>
      <c r="J50" s="244" t="s">
        <v>15</v>
      </c>
      <c r="K50" s="245"/>
      <c r="L50" s="103" t="s">
        <v>141</v>
      </c>
      <c r="N50" s="81"/>
      <c r="R50" s="255" t="str">
        <f>IF(AND(R51="NOT",R52="NOT",R53="NOT",R54="NOT",R55="NOT",R56="NOT",R57="NOT",R58="NOT",R59="NOT",R60="NOT",R46="NOT"),"NOT",D44)</f>
        <v>NOT</v>
      </c>
      <c r="S50" s="255" t="str">
        <f>IF(AND(S51="NOT",S52="NOT",S53="NOT",S54="NOT",S55="NOT",S56="NOT",S57="NOT",S58="NOT",S59="NOT",S60="NOT",R46="NOT"),"NOT",D44)</f>
        <v>NOT</v>
      </c>
      <c r="T50" s="255" t="str">
        <f>IF(AND(T51="NOT",T52="NOT",T53="NOT",T54="NOT",T55="NOT",T56="NOT",T57="NOT",T58="NOT",T59="NOT",T60="NOT",R46="NOT"),"NOT",D44)</f>
        <v>NOT</v>
      </c>
    </row>
    <row r="51" spans="1:22" ht="51" x14ac:dyDescent="0.2">
      <c r="B51" s="512" t="s">
        <v>899</v>
      </c>
      <c r="C51" s="88"/>
      <c r="D51" s="260" t="s">
        <v>724</v>
      </c>
      <c r="E51" s="243"/>
      <c r="F51" s="513" t="s">
        <v>789</v>
      </c>
      <c r="G51" s="243"/>
      <c r="H51" s="262">
        <f>3*40</f>
        <v>120</v>
      </c>
      <c r="I51" s="243"/>
      <c r="J51" s="262">
        <v>1.1499999999999999</v>
      </c>
      <c r="K51" s="88"/>
      <c r="L51" s="143">
        <f t="shared" ref="L51:L60" si="5">TRUNC(H51*J51,2)</f>
        <v>138</v>
      </c>
      <c r="N51" s="81"/>
      <c r="R51" s="79" t="str">
        <f t="shared" ref="R51:R60" si="6">IF(AND(($L51&gt;0),ISBLANK(B51)),B51,"NOT")</f>
        <v>NOT</v>
      </c>
      <c r="S51" s="79" t="str">
        <f t="shared" ref="S51:S60" si="7">IF(AND(($L51&gt;0),ISBLANK(D51)),D51,"NOT")</f>
        <v>NOT</v>
      </c>
      <c r="T51" s="79" t="str">
        <f t="shared" ref="T51:T60" si="8">IF(AND(($L51&gt;0),ISBLANK(F51)),F51,"NOT")</f>
        <v>NOT</v>
      </c>
      <c r="V51" s="79" t="str">
        <f t="shared" si="4"/>
        <v xml:space="preserve">1. </v>
      </c>
    </row>
    <row r="52" spans="1:22" ht="51" x14ac:dyDescent="0.2">
      <c r="B52" s="512" t="s">
        <v>900</v>
      </c>
      <c r="C52" s="88"/>
      <c r="D52" s="260" t="s">
        <v>724</v>
      </c>
      <c r="E52" s="243"/>
      <c r="F52" s="513" t="s">
        <v>789</v>
      </c>
      <c r="G52" s="243"/>
      <c r="H52" s="262">
        <f>3*60</f>
        <v>180</v>
      </c>
      <c r="I52" s="243"/>
      <c r="J52" s="262">
        <v>1.1499999999999999</v>
      </c>
      <c r="K52" s="88"/>
      <c r="L52" s="143">
        <f t="shared" si="5"/>
        <v>207</v>
      </c>
      <c r="N52" s="81"/>
      <c r="R52" s="79" t="str">
        <f t="shared" si="6"/>
        <v>NOT</v>
      </c>
      <c r="S52" s="79" t="str">
        <f t="shared" si="7"/>
        <v>NOT</v>
      </c>
      <c r="T52" s="79" t="str">
        <f t="shared" si="8"/>
        <v>NOT</v>
      </c>
      <c r="V52" s="79" t="str">
        <f t="shared" si="4"/>
        <v xml:space="preserve">1. </v>
      </c>
    </row>
    <row r="53" spans="1:22" x14ac:dyDescent="0.2">
      <c r="B53" s="259"/>
      <c r="C53" s="88"/>
      <c r="D53" s="260"/>
      <c r="E53" s="243"/>
      <c r="F53" s="261"/>
      <c r="G53" s="243"/>
      <c r="H53" s="262"/>
      <c r="I53" s="243"/>
      <c r="J53" s="262"/>
      <c r="K53" s="88"/>
      <c r="L53" s="143">
        <f t="shared" si="5"/>
        <v>0</v>
      </c>
      <c r="N53" s="81"/>
      <c r="R53" s="79" t="str">
        <f t="shared" si="6"/>
        <v>NOT</v>
      </c>
      <c r="S53" s="79" t="str">
        <f t="shared" si="7"/>
        <v>NOT</v>
      </c>
      <c r="T53" s="79" t="str">
        <f t="shared" si="8"/>
        <v>NOT</v>
      </c>
      <c r="V53" s="79" t="str">
        <f t="shared" si="4"/>
        <v/>
      </c>
    </row>
    <row r="54" spans="1:22" x14ac:dyDescent="0.2">
      <c r="B54" s="259"/>
      <c r="C54" s="88"/>
      <c r="D54" s="260"/>
      <c r="E54" s="243"/>
      <c r="F54" s="261"/>
      <c r="G54" s="243"/>
      <c r="H54" s="262"/>
      <c r="I54" s="243"/>
      <c r="J54" s="262"/>
      <c r="K54" s="88"/>
      <c r="L54" s="143">
        <f t="shared" si="5"/>
        <v>0</v>
      </c>
      <c r="N54" s="81"/>
      <c r="R54" s="79" t="str">
        <f t="shared" si="6"/>
        <v>NOT</v>
      </c>
      <c r="S54" s="79" t="str">
        <f t="shared" si="7"/>
        <v>NOT</v>
      </c>
      <c r="T54" s="79" t="str">
        <f t="shared" si="8"/>
        <v>NOT</v>
      </c>
      <c r="V54" s="79" t="str">
        <f t="shared" si="4"/>
        <v/>
      </c>
    </row>
    <row r="55" spans="1:22" x14ac:dyDescent="0.2">
      <c r="B55" s="259"/>
      <c r="C55" s="88"/>
      <c r="D55" s="260"/>
      <c r="E55" s="243"/>
      <c r="F55" s="261"/>
      <c r="G55" s="243"/>
      <c r="H55" s="262"/>
      <c r="I55" s="243"/>
      <c r="J55" s="262"/>
      <c r="K55" s="88"/>
      <c r="L55" s="143">
        <f t="shared" si="5"/>
        <v>0</v>
      </c>
      <c r="N55" s="81"/>
      <c r="R55" s="79" t="str">
        <f t="shared" si="6"/>
        <v>NOT</v>
      </c>
      <c r="S55" s="79" t="str">
        <f t="shared" si="7"/>
        <v>NOT</v>
      </c>
      <c r="T55" s="79" t="str">
        <f t="shared" si="8"/>
        <v>NOT</v>
      </c>
      <c r="V55" s="79" t="str">
        <f t="shared" si="4"/>
        <v/>
      </c>
    </row>
    <row r="56" spans="1:22" x14ac:dyDescent="0.2">
      <c r="B56" s="259"/>
      <c r="C56" s="88"/>
      <c r="D56" s="260"/>
      <c r="E56" s="243"/>
      <c r="F56" s="261"/>
      <c r="G56" s="243"/>
      <c r="H56" s="262"/>
      <c r="I56" s="243"/>
      <c r="J56" s="262"/>
      <c r="K56" s="88"/>
      <c r="L56" s="143">
        <f t="shared" si="5"/>
        <v>0</v>
      </c>
      <c r="N56" s="81"/>
      <c r="R56" s="79" t="str">
        <f t="shared" si="6"/>
        <v>NOT</v>
      </c>
      <c r="S56" s="79" t="str">
        <f t="shared" si="7"/>
        <v>NOT</v>
      </c>
      <c r="T56" s="79" t="str">
        <f t="shared" si="8"/>
        <v>NOT</v>
      </c>
      <c r="V56" s="79" t="str">
        <f t="shared" si="4"/>
        <v/>
      </c>
    </row>
    <row r="57" spans="1:22" x14ac:dyDescent="0.2">
      <c r="B57" s="259"/>
      <c r="C57" s="88"/>
      <c r="D57" s="260"/>
      <c r="E57" s="243"/>
      <c r="F57" s="261"/>
      <c r="G57" s="243"/>
      <c r="H57" s="262"/>
      <c r="I57" s="243"/>
      <c r="J57" s="262"/>
      <c r="K57" s="88"/>
      <c r="L57" s="143">
        <f t="shared" si="5"/>
        <v>0</v>
      </c>
      <c r="N57" s="81"/>
      <c r="R57" s="79" t="str">
        <f t="shared" si="6"/>
        <v>NOT</v>
      </c>
      <c r="S57" s="79" t="str">
        <f t="shared" si="7"/>
        <v>NOT</v>
      </c>
      <c r="T57" s="79" t="str">
        <f t="shared" si="8"/>
        <v>NOT</v>
      </c>
      <c r="V57" s="79" t="str">
        <f t="shared" si="4"/>
        <v/>
      </c>
    </row>
    <row r="58" spans="1:22" x14ac:dyDescent="0.2">
      <c r="B58" s="259"/>
      <c r="C58" s="88"/>
      <c r="D58" s="260"/>
      <c r="E58" s="243"/>
      <c r="F58" s="261"/>
      <c r="G58" s="243"/>
      <c r="H58" s="262"/>
      <c r="I58" s="243"/>
      <c r="J58" s="262"/>
      <c r="K58" s="88"/>
      <c r="L58" s="143">
        <f t="shared" si="5"/>
        <v>0</v>
      </c>
      <c r="N58" s="81"/>
      <c r="R58" s="79" t="str">
        <f t="shared" si="6"/>
        <v>NOT</v>
      </c>
      <c r="S58" s="79" t="str">
        <f t="shared" si="7"/>
        <v>NOT</v>
      </c>
      <c r="T58" s="79" t="str">
        <f t="shared" si="8"/>
        <v>NOT</v>
      </c>
      <c r="V58" s="79" t="str">
        <f t="shared" si="4"/>
        <v/>
      </c>
    </row>
    <row r="59" spans="1:22" x14ac:dyDescent="0.2">
      <c r="B59" s="259"/>
      <c r="C59" s="88"/>
      <c r="D59" s="260"/>
      <c r="E59" s="243"/>
      <c r="F59" s="261"/>
      <c r="G59" s="243"/>
      <c r="H59" s="262"/>
      <c r="I59" s="243"/>
      <c r="J59" s="262"/>
      <c r="K59" s="88"/>
      <c r="L59" s="143">
        <f t="shared" si="5"/>
        <v>0</v>
      </c>
      <c r="N59" s="81"/>
      <c r="R59" s="79" t="str">
        <f t="shared" si="6"/>
        <v>NOT</v>
      </c>
      <c r="S59" s="79" t="str">
        <f t="shared" si="7"/>
        <v>NOT</v>
      </c>
      <c r="T59" s="79" t="str">
        <f t="shared" si="8"/>
        <v>NOT</v>
      </c>
      <c r="V59" s="79" t="str">
        <f t="shared" si="4"/>
        <v/>
      </c>
    </row>
    <row r="60" spans="1:22" x14ac:dyDescent="0.2">
      <c r="B60" s="259"/>
      <c r="C60" s="88"/>
      <c r="D60" s="260"/>
      <c r="E60" s="243"/>
      <c r="F60" s="261"/>
      <c r="G60" s="243"/>
      <c r="H60" s="262"/>
      <c r="I60" s="243"/>
      <c r="J60" s="262"/>
      <c r="K60" s="88"/>
      <c r="L60" s="143">
        <f t="shared" si="5"/>
        <v>0</v>
      </c>
      <c r="N60" s="81"/>
      <c r="R60" s="79" t="str">
        <f t="shared" si="6"/>
        <v>NOT</v>
      </c>
      <c r="S60" s="79" t="str">
        <f t="shared" si="7"/>
        <v>NOT</v>
      </c>
      <c r="T60" s="79" t="str">
        <f t="shared" si="8"/>
        <v>NOT</v>
      </c>
      <c r="V60" s="79" t="str">
        <f t="shared" si="4"/>
        <v/>
      </c>
    </row>
    <row r="61" spans="1:22" x14ac:dyDescent="0.2">
      <c r="B61" s="104"/>
      <c r="C61" s="88"/>
      <c r="D61" s="81"/>
      <c r="F61" s="81"/>
      <c r="H61" s="81"/>
      <c r="J61" s="81"/>
      <c r="K61" s="88"/>
      <c r="L61" s="81"/>
      <c r="N61" s="227"/>
    </row>
    <row r="62" spans="1:22" ht="13.5" customHeight="1" x14ac:dyDescent="0.2">
      <c r="A62" s="276"/>
      <c r="B62" s="278" t="s">
        <v>288</v>
      </c>
      <c r="C62" s="277"/>
      <c r="D62" s="747" t="s">
        <v>166</v>
      </c>
      <c r="E62" s="748"/>
      <c r="F62" s="748"/>
      <c r="G62" s="748"/>
      <c r="H62" s="748"/>
      <c r="I62" s="279"/>
      <c r="J62" s="280" t="s">
        <v>18</v>
      </c>
      <c r="K62" s="88"/>
      <c r="L62" s="156">
        <f>SUM(L69:L78)</f>
        <v>0</v>
      </c>
      <c r="M62" s="246"/>
      <c r="N62" s="147">
        <f>IF(L62=0,0%,L62/L$8)</f>
        <v>0</v>
      </c>
      <c r="O62" s="495">
        <f>IF(LEN(R62)&gt;3,1,0)</f>
        <v>0</v>
      </c>
      <c r="R62" s="79" t="str">
        <f>IF(AND(R68="NOT",S68="NOT",T68="NOT"),"NOT",D62)</f>
        <v>NOT</v>
      </c>
    </row>
    <row r="63" spans="1:22" s="76" customFormat="1" ht="3" customHeight="1" x14ac:dyDescent="0.2">
      <c r="A63" s="87"/>
      <c r="B63" s="88"/>
      <c r="C63" s="88"/>
      <c r="D63" s="70"/>
      <c r="E63" s="70"/>
      <c r="F63" s="70"/>
      <c r="G63" s="70"/>
      <c r="H63" s="70"/>
      <c r="I63" s="70"/>
      <c r="J63" s="70"/>
      <c r="K63" s="88"/>
      <c r="L63" s="70"/>
      <c r="M63" s="70"/>
      <c r="N63" s="70"/>
      <c r="O63" s="89"/>
      <c r="V63" s="79"/>
    </row>
    <row r="64" spans="1:22" x14ac:dyDescent="0.2">
      <c r="B64" s="742" t="s">
        <v>197</v>
      </c>
      <c r="C64" s="743"/>
      <c r="D64" s="743"/>
      <c r="E64" s="743"/>
      <c r="F64" s="743"/>
      <c r="H64" s="81"/>
      <c r="J64" s="81"/>
      <c r="K64" s="88"/>
      <c r="L64" s="81"/>
      <c r="N64" s="227"/>
      <c r="R64" s="79" t="str">
        <f>IF(AND(($L62&gt;0),ISBLANK(B66)),B64,"NOT")</f>
        <v>NOT</v>
      </c>
    </row>
    <row r="65" spans="1:22" ht="3" customHeight="1" x14ac:dyDescent="0.2">
      <c r="B65" s="104"/>
      <c r="C65" s="88"/>
      <c r="D65" s="81"/>
      <c r="F65" s="81"/>
      <c r="H65" s="81"/>
      <c r="J65" s="81"/>
      <c r="K65" s="88"/>
      <c r="L65" s="81"/>
      <c r="N65" s="227"/>
    </row>
    <row r="66" spans="1:22" ht="50.25" customHeight="1" x14ac:dyDescent="0.2">
      <c r="B66" s="744"/>
      <c r="C66" s="745"/>
      <c r="D66" s="745"/>
      <c r="E66" s="745"/>
      <c r="F66" s="745"/>
      <c r="G66" s="745"/>
      <c r="H66" s="745"/>
      <c r="I66" s="745"/>
      <c r="J66" s="745"/>
      <c r="K66" s="745"/>
      <c r="L66" s="746"/>
      <c r="M66" s="70" t="s">
        <v>19</v>
      </c>
      <c r="N66" s="227"/>
    </row>
    <row r="67" spans="1:22" ht="3.75" customHeight="1" x14ac:dyDescent="0.2">
      <c r="B67" s="104"/>
      <c r="C67" s="88"/>
      <c r="D67" s="81"/>
      <c r="F67" s="81"/>
      <c r="H67" s="81"/>
      <c r="J67" s="81"/>
      <c r="K67" s="88"/>
      <c r="L67" s="81"/>
      <c r="N67" s="227"/>
    </row>
    <row r="68" spans="1:22" ht="12.75" customHeight="1" x14ac:dyDescent="0.2">
      <c r="B68" s="244" t="s">
        <v>17</v>
      </c>
      <c r="C68" s="88"/>
      <c r="D68" s="244" t="s">
        <v>580</v>
      </c>
      <c r="F68" s="244" t="s">
        <v>205</v>
      </c>
      <c r="H68" s="244" t="s">
        <v>16</v>
      </c>
      <c r="J68" s="244" t="s">
        <v>15</v>
      </c>
      <c r="K68" s="245"/>
      <c r="L68" s="103" t="s">
        <v>141</v>
      </c>
      <c r="N68" s="81"/>
      <c r="R68" s="255" t="str">
        <f>IF(AND(R69="NOT",R70="NOT",R71="NOT",R72="NOT",R73="NOT",R74="NOT",R75="NOT",R76="NOT",R77="NOT",R78="NOT",R64="NOT"),"NOT",D62)</f>
        <v>NOT</v>
      </c>
      <c r="S68" s="255" t="str">
        <f>IF(AND(S69="NOT",S70="NOT",S71="NOT",S72="NOT",S73="NOT",S74="NOT",S75="NOT",S76="NOT",S77="NOT",S78="NOT",R64="NOT"),"NOT",D62)</f>
        <v>NOT</v>
      </c>
      <c r="T68" s="255" t="str">
        <f>IF(AND(T69="NOT",T70="NOT",T71="NOT",T72="NOT",T73="NOT",T74="NOT",T75="NOT",T76="NOT",T77="NOT",T78="NOT",R64="NOT"),"NOT",D62)</f>
        <v>NOT</v>
      </c>
    </row>
    <row r="69" spans="1:22" x14ac:dyDescent="0.2">
      <c r="B69" s="259"/>
      <c r="C69" s="88"/>
      <c r="D69" s="260"/>
      <c r="E69" s="243"/>
      <c r="F69" s="261"/>
      <c r="G69" s="243"/>
      <c r="H69" s="262"/>
      <c r="I69" s="243"/>
      <c r="J69" s="262"/>
      <c r="K69" s="88"/>
      <c r="L69" s="143">
        <f t="shared" ref="L69:L78" si="9">TRUNC(H69*J69,2)</f>
        <v>0</v>
      </c>
      <c r="N69" s="81"/>
      <c r="R69" s="79" t="str">
        <f t="shared" ref="R69:R78" si="10">IF(AND(($L69&gt;0),ISBLANK(B69)),B69,"NOT")</f>
        <v>NOT</v>
      </c>
      <c r="S69" s="79" t="str">
        <f t="shared" ref="S69:S78" si="11">IF(AND(($L69&gt;0),ISBLANK(D69)),D69,"NOT")</f>
        <v>NOT</v>
      </c>
      <c r="T69" s="79" t="str">
        <f t="shared" ref="T69:T78" si="12">IF(AND(($L69&gt;0),ISBLANK(F69)),F69,"NOT")</f>
        <v>NOT</v>
      </c>
      <c r="V69" s="79" t="str">
        <f t="shared" si="4"/>
        <v/>
      </c>
    </row>
    <row r="70" spans="1:22" x14ac:dyDescent="0.2">
      <c r="B70" s="259"/>
      <c r="C70" s="88"/>
      <c r="D70" s="260"/>
      <c r="E70" s="243"/>
      <c r="F70" s="261"/>
      <c r="G70" s="243"/>
      <c r="H70" s="262"/>
      <c r="I70" s="243"/>
      <c r="J70" s="262"/>
      <c r="K70" s="88"/>
      <c r="L70" s="143">
        <f t="shared" si="9"/>
        <v>0</v>
      </c>
      <c r="N70" s="81"/>
      <c r="R70" s="79" t="str">
        <f t="shared" si="10"/>
        <v>NOT</v>
      </c>
      <c r="S70" s="79" t="str">
        <f t="shared" si="11"/>
        <v>NOT</v>
      </c>
      <c r="T70" s="79" t="str">
        <f t="shared" si="12"/>
        <v>NOT</v>
      </c>
      <c r="V70" s="79" t="str">
        <f t="shared" si="4"/>
        <v/>
      </c>
    </row>
    <row r="71" spans="1:22" x14ac:dyDescent="0.2">
      <c r="B71" s="259"/>
      <c r="C71" s="88"/>
      <c r="D71" s="260"/>
      <c r="E71" s="243"/>
      <c r="F71" s="261"/>
      <c r="G71" s="243"/>
      <c r="H71" s="262"/>
      <c r="I71" s="243"/>
      <c r="J71" s="262"/>
      <c r="K71" s="88"/>
      <c r="L71" s="143">
        <f t="shared" si="9"/>
        <v>0</v>
      </c>
      <c r="N71" s="81"/>
      <c r="R71" s="79" t="str">
        <f t="shared" si="10"/>
        <v>NOT</v>
      </c>
      <c r="S71" s="79" t="str">
        <f t="shared" si="11"/>
        <v>NOT</v>
      </c>
      <c r="T71" s="79" t="str">
        <f t="shared" si="12"/>
        <v>NOT</v>
      </c>
      <c r="V71" s="79" t="str">
        <f t="shared" si="4"/>
        <v/>
      </c>
    </row>
    <row r="72" spans="1:22" x14ac:dyDescent="0.2">
      <c r="B72" s="259"/>
      <c r="C72" s="88"/>
      <c r="D72" s="260"/>
      <c r="E72" s="243"/>
      <c r="F72" s="261"/>
      <c r="G72" s="243"/>
      <c r="H72" s="262"/>
      <c r="I72" s="243"/>
      <c r="J72" s="262"/>
      <c r="K72" s="88"/>
      <c r="L72" s="143">
        <f t="shared" si="9"/>
        <v>0</v>
      </c>
      <c r="N72" s="81"/>
      <c r="R72" s="79" t="str">
        <f t="shared" si="10"/>
        <v>NOT</v>
      </c>
      <c r="S72" s="79" t="str">
        <f t="shared" si="11"/>
        <v>NOT</v>
      </c>
      <c r="T72" s="79" t="str">
        <f t="shared" si="12"/>
        <v>NOT</v>
      </c>
      <c r="V72" s="79" t="str">
        <f t="shared" si="4"/>
        <v/>
      </c>
    </row>
    <row r="73" spans="1:22" x14ac:dyDescent="0.2">
      <c r="B73" s="259"/>
      <c r="C73" s="88"/>
      <c r="D73" s="260"/>
      <c r="E73" s="243"/>
      <c r="F73" s="261"/>
      <c r="G73" s="243"/>
      <c r="H73" s="262"/>
      <c r="I73" s="243"/>
      <c r="J73" s="262"/>
      <c r="K73" s="88"/>
      <c r="L73" s="143">
        <f t="shared" si="9"/>
        <v>0</v>
      </c>
      <c r="N73" s="81"/>
      <c r="R73" s="79" t="str">
        <f t="shared" si="10"/>
        <v>NOT</v>
      </c>
      <c r="S73" s="79" t="str">
        <f t="shared" si="11"/>
        <v>NOT</v>
      </c>
      <c r="T73" s="79" t="str">
        <f t="shared" si="12"/>
        <v>NOT</v>
      </c>
      <c r="V73" s="79" t="str">
        <f t="shared" si="4"/>
        <v/>
      </c>
    </row>
    <row r="74" spans="1:22" x14ac:dyDescent="0.2">
      <c r="B74" s="259"/>
      <c r="C74" s="88"/>
      <c r="D74" s="260"/>
      <c r="E74" s="243"/>
      <c r="F74" s="261"/>
      <c r="G74" s="243"/>
      <c r="H74" s="262"/>
      <c r="I74" s="243"/>
      <c r="J74" s="262"/>
      <c r="K74" s="88"/>
      <c r="L74" s="143">
        <f t="shared" si="9"/>
        <v>0</v>
      </c>
      <c r="N74" s="81"/>
      <c r="R74" s="79" t="str">
        <f t="shared" si="10"/>
        <v>NOT</v>
      </c>
      <c r="S74" s="79" t="str">
        <f t="shared" si="11"/>
        <v>NOT</v>
      </c>
      <c r="T74" s="79" t="str">
        <f t="shared" si="12"/>
        <v>NOT</v>
      </c>
      <c r="V74" s="79" t="str">
        <f t="shared" si="4"/>
        <v/>
      </c>
    </row>
    <row r="75" spans="1:22" x14ac:dyDescent="0.2">
      <c r="B75" s="259"/>
      <c r="C75" s="88"/>
      <c r="D75" s="260"/>
      <c r="E75" s="243"/>
      <c r="F75" s="261"/>
      <c r="G75" s="243"/>
      <c r="H75" s="262"/>
      <c r="I75" s="243"/>
      <c r="J75" s="262"/>
      <c r="K75" s="88"/>
      <c r="L75" s="143">
        <f t="shared" si="9"/>
        <v>0</v>
      </c>
      <c r="N75" s="81"/>
      <c r="R75" s="79" t="str">
        <f t="shared" si="10"/>
        <v>NOT</v>
      </c>
      <c r="S75" s="79" t="str">
        <f t="shared" si="11"/>
        <v>NOT</v>
      </c>
      <c r="T75" s="79" t="str">
        <f t="shared" si="12"/>
        <v>NOT</v>
      </c>
      <c r="V75" s="79" t="str">
        <f t="shared" si="4"/>
        <v/>
      </c>
    </row>
    <row r="76" spans="1:22" x14ac:dyDescent="0.2">
      <c r="B76" s="259"/>
      <c r="C76" s="88"/>
      <c r="D76" s="260"/>
      <c r="E76" s="243"/>
      <c r="F76" s="261"/>
      <c r="G76" s="243"/>
      <c r="H76" s="262"/>
      <c r="I76" s="243"/>
      <c r="J76" s="262"/>
      <c r="K76" s="88"/>
      <c r="L76" s="143">
        <f t="shared" si="9"/>
        <v>0</v>
      </c>
      <c r="N76" s="81"/>
      <c r="R76" s="79" t="str">
        <f t="shared" si="10"/>
        <v>NOT</v>
      </c>
      <c r="S76" s="79" t="str">
        <f t="shared" si="11"/>
        <v>NOT</v>
      </c>
      <c r="T76" s="79" t="str">
        <f t="shared" si="12"/>
        <v>NOT</v>
      </c>
      <c r="V76" s="79" t="str">
        <f t="shared" si="4"/>
        <v/>
      </c>
    </row>
    <row r="77" spans="1:22" x14ac:dyDescent="0.2">
      <c r="B77" s="259"/>
      <c r="C77" s="88"/>
      <c r="D77" s="260"/>
      <c r="E77" s="243"/>
      <c r="F77" s="261"/>
      <c r="G77" s="243"/>
      <c r="H77" s="262"/>
      <c r="I77" s="243"/>
      <c r="J77" s="262"/>
      <c r="K77" s="88"/>
      <c r="L77" s="143">
        <f t="shared" si="9"/>
        <v>0</v>
      </c>
      <c r="N77" s="81"/>
      <c r="R77" s="79" t="str">
        <f t="shared" si="10"/>
        <v>NOT</v>
      </c>
      <c r="S77" s="79" t="str">
        <f t="shared" si="11"/>
        <v>NOT</v>
      </c>
      <c r="T77" s="79" t="str">
        <f t="shared" si="12"/>
        <v>NOT</v>
      </c>
      <c r="V77" s="79" t="str">
        <f t="shared" si="4"/>
        <v/>
      </c>
    </row>
    <row r="78" spans="1:22" x14ac:dyDescent="0.2">
      <c r="B78" s="259"/>
      <c r="C78" s="88"/>
      <c r="D78" s="260"/>
      <c r="E78" s="243"/>
      <c r="F78" s="261"/>
      <c r="G78" s="243"/>
      <c r="H78" s="262"/>
      <c r="I78" s="243"/>
      <c r="J78" s="262"/>
      <c r="K78" s="88"/>
      <c r="L78" s="143">
        <f t="shared" si="9"/>
        <v>0</v>
      </c>
      <c r="N78" s="81"/>
      <c r="R78" s="79" t="str">
        <f t="shared" si="10"/>
        <v>NOT</v>
      </c>
      <c r="S78" s="79" t="str">
        <f t="shared" si="11"/>
        <v>NOT</v>
      </c>
      <c r="T78" s="79" t="str">
        <f t="shared" si="12"/>
        <v>NOT</v>
      </c>
      <c r="V78" s="79" t="str">
        <f t="shared" si="4"/>
        <v/>
      </c>
    </row>
    <row r="79" spans="1:22" s="76" customFormat="1" ht="12.75" customHeight="1" x14ac:dyDescent="0.2">
      <c r="A79" s="87"/>
      <c r="B79" s="88"/>
      <c r="C79" s="88"/>
      <c r="D79" s="70"/>
      <c r="E79" s="70"/>
      <c r="F79" s="70"/>
      <c r="G79" s="70"/>
      <c r="H79" s="70"/>
      <c r="I79" s="70"/>
      <c r="J79" s="70"/>
      <c r="K79" s="88"/>
      <c r="L79" s="70"/>
      <c r="M79" s="70"/>
      <c r="N79" s="70"/>
      <c r="O79" s="89"/>
      <c r="V79" s="79"/>
    </row>
    <row r="80" spans="1:22" ht="13.5" customHeight="1" x14ac:dyDescent="0.2">
      <c r="A80" s="276"/>
      <c r="B80" s="278" t="s">
        <v>289</v>
      </c>
      <c r="C80" s="277"/>
      <c r="D80" s="747" t="s">
        <v>166</v>
      </c>
      <c r="E80" s="748"/>
      <c r="F80" s="748"/>
      <c r="G80" s="748"/>
      <c r="H80" s="748"/>
      <c r="I80" s="279"/>
      <c r="J80" s="280" t="s">
        <v>18</v>
      </c>
      <c r="K80" s="88"/>
      <c r="L80" s="156">
        <f>SUM(L87:L96)</f>
        <v>0</v>
      </c>
      <c r="M80" s="246"/>
      <c r="N80" s="147">
        <f>IF(L80=0,0%,L80/L$8)</f>
        <v>0</v>
      </c>
      <c r="O80" s="495">
        <f>IF(LEN(R80)&gt;3,1,0)</f>
        <v>0</v>
      </c>
      <c r="R80" s="79" t="str">
        <f>IF(AND(R86="NOT",S86="NOT",T86="NOT"),"NOT",D80)</f>
        <v>NOT</v>
      </c>
    </row>
    <row r="81" spans="1:22" s="76" customFormat="1" ht="3" customHeight="1" x14ac:dyDescent="0.2">
      <c r="A81" s="87"/>
      <c r="B81" s="88"/>
      <c r="C81" s="88"/>
      <c r="D81" s="70"/>
      <c r="E81" s="70"/>
      <c r="F81" s="70"/>
      <c r="G81" s="70"/>
      <c r="H81" s="70"/>
      <c r="I81" s="70"/>
      <c r="J81" s="70"/>
      <c r="K81" s="88"/>
      <c r="L81" s="70"/>
      <c r="M81" s="70"/>
      <c r="N81" s="70"/>
      <c r="O81" s="89"/>
      <c r="V81" s="79"/>
    </row>
    <row r="82" spans="1:22" x14ac:dyDescent="0.2">
      <c r="B82" s="742" t="s">
        <v>197</v>
      </c>
      <c r="C82" s="743"/>
      <c r="D82" s="743"/>
      <c r="E82" s="743"/>
      <c r="F82" s="743"/>
      <c r="H82" s="81"/>
      <c r="J82" s="81"/>
      <c r="K82" s="88"/>
      <c r="L82" s="81"/>
      <c r="N82" s="227"/>
      <c r="R82" s="79" t="str">
        <f>IF(AND(($L80&gt;0),ISBLANK(B84)),B82,"NOT")</f>
        <v>NOT</v>
      </c>
    </row>
    <row r="83" spans="1:22" ht="3" customHeight="1" x14ac:dyDescent="0.2">
      <c r="B83" s="104"/>
      <c r="C83" s="88"/>
      <c r="D83" s="81"/>
      <c r="F83" s="81"/>
      <c r="H83" s="81"/>
      <c r="J83" s="81"/>
      <c r="K83" s="88"/>
      <c r="L83" s="81"/>
      <c r="N83" s="227"/>
    </row>
    <row r="84" spans="1:22" ht="50.25" customHeight="1" x14ac:dyDescent="0.2">
      <c r="B84" s="744"/>
      <c r="C84" s="745"/>
      <c r="D84" s="745"/>
      <c r="E84" s="745"/>
      <c r="F84" s="745"/>
      <c r="G84" s="745"/>
      <c r="H84" s="745"/>
      <c r="I84" s="745"/>
      <c r="J84" s="745"/>
      <c r="K84" s="745"/>
      <c r="L84" s="746"/>
      <c r="M84" s="70" t="s">
        <v>19</v>
      </c>
      <c r="N84" s="227"/>
    </row>
    <row r="85" spans="1:22" ht="3.75" customHeight="1" x14ac:dyDescent="0.2">
      <c r="B85" s="104"/>
      <c r="C85" s="88"/>
      <c r="D85" s="81"/>
      <c r="F85" s="81"/>
      <c r="H85" s="81"/>
      <c r="J85" s="81"/>
      <c r="K85" s="88"/>
      <c r="L85" s="81"/>
      <c r="N85" s="227"/>
    </row>
    <row r="86" spans="1:22" ht="12.75" customHeight="1" x14ac:dyDescent="0.2">
      <c r="B86" s="244" t="s">
        <v>17</v>
      </c>
      <c r="C86" s="88"/>
      <c r="D86" s="244" t="s">
        <v>580</v>
      </c>
      <c r="F86" s="244" t="s">
        <v>205</v>
      </c>
      <c r="H86" s="244" t="s">
        <v>16</v>
      </c>
      <c r="J86" s="244" t="s">
        <v>15</v>
      </c>
      <c r="K86" s="245"/>
      <c r="L86" s="103" t="s">
        <v>141</v>
      </c>
      <c r="N86" s="81"/>
      <c r="R86" s="255" t="str">
        <f>IF(AND(R87="NOT",R88="NOT",R89="NOT",R90="NOT",R91="NOT",R92="NOT",R93="NOT",R94="NOT",R95="NOT",R96="NOT",R82="NOT"),"NOT",D80)</f>
        <v>NOT</v>
      </c>
      <c r="S86" s="255" t="str">
        <f>IF(AND(S87="NOT",S88="NOT",S89="NOT",S90="NOT",S91="NOT",S92="NOT",S93="NOT",S94="NOT",S95="NOT",S96="NOT",R82="NOT"),"NOT",D80)</f>
        <v>NOT</v>
      </c>
      <c r="T86" s="255" t="str">
        <f>IF(AND(T87="NOT",T88="NOT",T89="NOT",T90="NOT",T91="NOT",T92="NOT",T93="NOT",T94="NOT",T95="NOT",T96="NOT",R82="NOT"),"NOT",D80)</f>
        <v>NOT</v>
      </c>
    </row>
    <row r="87" spans="1:22" x14ac:dyDescent="0.2">
      <c r="B87" s="259"/>
      <c r="C87" s="88"/>
      <c r="D87" s="260"/>
      <c r="E87" s="243"/>
      <c r="F87" s="261"/>
      <c r="G87" s="243"/>
      <c r="H87" s="262"/>
      <c r="I87" s="243"/>
      <c r="J87" s="262"/>
      <c r="K87" s="88"/>
      <c r="L87" s="143">
        <f t="shared" ref="L87:L96" si="13">TRUNC(H87*J87,2)</f>
        <v>0</v>
      </c>
      <c r="N87" s="81"/>
      <c r="R87" s="79" t="str">
        <f t="shared" ref="R87:R96" si="14">IF(AND(($L87&gt;0),ISBLANK(B87)),B87,"NOT")</f>
        <v>NOT</v>
      </c>
      <c r="S87" s="79" t="str">
        <f t="shared" ref="S87:S96" si="15">IF(AND(($L87&gt;0),ISBLANK(D87)),D87,"NOT")</f>
        <v>NOT</v>
      </c>
      <c r="T87" s="79" t="str">
        <f t="shared" ref="T87:T96" si="16">IF(AND(($L87&gt;0),ISBLANK(F87)),F87,"NOT")</f>
        <v>NOT</v>
      </c>
      <c r="V87" s="79" t="str">
        <f t="shared" ref="V87:V96" si="17">LEFT(D87,3)</f>
        <v/>
      </c>
    </row>
    <row r="88" spans="1:22" x14ac:dyDescent="0.2">
      <c r="B88" s="259"/>
      <c r="C88" s="88"/>
      <c r="D88" s="260"/>
      <c r="E88" s="243"/>
      <c r="F88" s="261"/>
      <c r="G88" s="243"/>
      <c r="H88" s="262"/>
      <c r="I88" s="243"/>
      <c r="J88" s="262"/>
      <c r="K88" s="88"/>
      <c r="L88" s="143">
        <f t="shared" si="13"/>
        <v>0</v>
      </c>
      <c r="N88" s="81"/>
      <c r="R88" s="79" t="str">
        <f t="shared" si="14"/>
        <v>NOT</v>
      </c>
      <c r="S88" s="79" t="str">
        <f t="shared" si="15"/>
        <v>NOT</v>
      </c>
      <c r="T88" s="79" t="str">
        <f t="shared" si="16"/>
        <v>NOT</v>
      </c>
      <c r="V88" s="79" t="str">
        <f t="shared" si="17"/>
        <v/>
      </c>
    </row>
    <row r="89" spans="1:22" x14ac:dyDescent="0.2">
      <c r="B89" s="259"/>
      <c r="C89" s="88"/>
      <c r="D89" s="260"/>
      <c r="E89" s="243"/>
      <c r="F89" s="261"/>
      <c r="G89" s="243"/>
      <c r="H89" s="262"/>
      <c r="I89" s="243"/>
      <c r="J89" s="262"/>
      <c r="K89" s="88"/>
      <c r="L89" s="143">
        <f t="shared" si="13"/>
        <v>0</v>
      </c>
      <c r="N89" s="81"/>
      <c r="R89" s="79" t="str">
        <f t="shared" si="14"/>
        <v>NOT</v>
      </c>
      <c r="S89" s="79" t="str">
        <f t="shared" si="15"/>
        <v>NOT</v>
      </c>
      <c r="T89" s="79" t="str">
        <f t="shared" si="16"/>
        <v>NOT</v>
      </c>
      <c r="V89" s="79" t="str">
        <f t="shared" si="17"/>
        <v/>
      </c>
    </row>
    <row r="90" spans="1:22" x14ac:dyDescent="0.2">
      <c r="B90" s="259"/>
      <c r="C90" s="88"/>
      <c r="D90" s="260"/>
      <c r="E90" s="243"/>
      <c r="F90" s="261"/>
      <c r="G90" s="243"/>
      <c r="H90" s="262"/>
      <c r="I90" s="243"/>
      <c r="J90" s="262"/>
      <c r="K90" s="88"/>
      <c r="L90" s="143">
        <f t="shared" si="13"/>
        <v>0</v>
      </c>
      <c r="N90" s="81"/>
      <c r="R90" s="79" t="str">
        <f t="shared" si="14"/>
        <v>NOT</v>
      </c>
      <c r="S90" s="79" t="str">
        <f t="shared" si="15"/>
        <v>NOT</v>
      </c>
      <c r="T90" s="79" t="str">
        <f t="shared" si="16"/>
        <v>NOT</v>
      </c>
      <c r="V90" s="79" t="str">
        <f t="shared" si="17"/>
        <v/>
      </c>
    </row>
    <row r="91" spans="1:22" x14ac:dyDescent="0.2">
      <c r="B91" s="259"/>
      <c r="C91" s="88"/>
      <c r="D91" s="260"/>
      <c r="E91" s="243"/>
      <c r="F91" s="261"/>
      <c r="G91" s="243"/>
      <c r="H91" s="262"/>
      <c r="I91" s="243"/>
      <c r="J91" s="262"/>
      <c r="K91" s="88"/>
      <c r="L91" s="143">
        <f t="shared" si="13"/>
        <v>0</v>
      </c>
      <c r="N91" s="81"/>
      <c r="R91" s="79" t="str">
        <f t="shared" si="14"/>
        <v>NOT</v>
      </c>
      <c r="S91" s="79" t="str">
        <f t="shared" si="15"/>
        <v>NOT</v>
      </c>
      <c r="T91" s="79" t="str">
        <f t="shared" si="16"/>
        <v>NOT</v>
      </c>
      <c r="V91" s="79" t="str">
        <f t="shared" si="17"/>
        <v/>
      </c>
    </row>
    <row r="92" spans="1:22" x14ac:dyDescent="0.2">
      <c r="B92" s="259"/>
      <c r="C92" s="88"/>
      <c r="D92" s="260"/>
      <c r="E92" s="243"/>
      <c r="F92" s="261"/>
      <c r="G92" s="243"/>
      <c r="H92" s="262"/>
      <c r="I92" s="243"/>
      <c r="J92" s="262"/>
      <c r="K92" s="88"/>
      <c r="L92" s="143">
        <f t="shared" si="13"/>
        <v>0</v>
      </c>
      <c r="N92" s="81"/>
      <c r="R92" s="79" t="str">
        <f t="shared" si="14"/>
        <v>NOT</v>
      </c>
      <c r="S92" s="79" t="str">
        <f t="shared" si="15"/>
        <v>NOT</v>
      </c>
      <c r="T92" s="79" t="str">
        <f t="shared" si="16"/>
        <v>NOT</v>
      </c>
      <c r="V92" s="79" t="str">
        <f t="shared" si="17"/>
        <v/>
      </c>
    </row>
    <row r="93" spans="1:22" x14ac:dyDescent="0.2">
      <c r="B93" s="259"/>
      <c r="C93" s="88"/>
      <c r="D93" s="260"/>
      <c r="E93" s="243"/>
      <c r="F93" s="261"/>
      <c r="G93" s="243"/>
      <c r="H93" s="262"/>
      <c r="I93" s="243"/>
      <c r="J93" s="262"/>
      <c r="K93" s="88"/>
      <c r="L93" s="143">
        <f t="shared" si="13"/>
        <v>0</v>
      </c>
      <c r="N93" s="81"/>
      <c r="R93" s="79" t="str">
        <f t="shared" si="14"/>
        <v>NOT</v>
      </c>
      <c r="S93" s="79" t="str">
        <f t="shared" si="15"/>
        <v>NOT</v>
      </c>
      <c r="T93" s="79" t="str">
        <f t="shared" si="16"/>
        <v>NOT</v>
      </c>
      <c r="V93" s="79" t="str">
        <f t="shared" si="17"/>
        <v/>
      </c>
    </row>
    <row r="94" spans="1:22" x14ac:dyDescent="0.2">
      <c r="B94" s="259"/>
      <c r="C94" s="88"/>
      <c r="D94" s="260"/>
      <c r="E94" s="243"/>
      <c r="F94" s="261"/>
      <c r="G94" s="243"/>
      <c r="H94" s="262"/>
      <c r="I94" s="243"/>
      <c r="J94" s="262"/>
      <c r="K94" s="88"/>
      <c r="L94" s="143">
        <f t="shared" si="13"/>
        <v>0</v>
      </c>
      <c r="N94" s="81"/>
      <c r="R94" s="79" t="str">
        <f t="shared" si="14"/>
        <v>NOT</v>
      </c>
      <c r="S94" s="79" t="str">
        <f t="shared" si="15"/>
        <v>NOT</v>
      </c>
      <c r="T94" s="79" t="str">
        <f t="shared" si="16"/>
        <v>NOT</v>
      </c>
      <c r="V94" s="79" t="str">
        <f t="shared" si="17"/>
        <v/>
      </c>
    </row>
    <row r="95" spans="1:22" x14ac:dyDescent="0.2">
      <c r="B95" s="259"/>
      <c r="C95" s="88"/>
      <c r="D95" s="260"/>
      <c r="E95" s="243"/>
      <c r="F95" s="261"/>
      <c r="G95" s="243"/>
      <c r="H95" s="262"/>
      <c r="I95" s="243"/>
      <c r="J95" s="262"/>
      <c r="K95" s="88"/>
      <c r="L95" s="143">
        <f t="shared" si="13"/>
        <v>0</v>
      </c>
      <c r="N95" s="81"/>
      <c r="R95" s="79" t="str">
        <f t="shared" si="14"/>
        <v>NOT</v>
      </c>
      <c r="S95" s="79" t="str">
        <f t="shared" si="15"/>
        <v>NOT</v>
      </c>
      <c r="T95" s="79" t="str">
        <f t="shared" si="16"/>
        <v>NOT</v>
      </c>
      <c r="V95" s="79" t="str">
        <f t="shared" si="17"/>
        <v/>
      </c>
    </row>
    <row r="96" spans="1:22" x14ac:dyDescent="0.2">
      <c r="B96" s="259"/>
      <c r="C96" s="88"/>
      <c r="D96" s="260"/>
      <c r="E96" s="243"/>
      <c r="F96" s="261"/>
      <c r="G96" s="243"/>
      <c r="H96" s="262"/>
      <c r="I96" s="243"/>
      <c r="J96" s="262"/>
      <c r="K96" s="88"/>
      <c r="L96" s="143">
        <f t="shared" si="13"/>
        <v>0</v>
      </c>
      <c r="N96" s="81"/>
      <c r="R96" s="79" t="str">
        <f t="shared" si="14"/>
        <v>NOT</v>
      </c>
      <c r="S96" s="79" t="str">
        <f t="shared" si="15"/>
        <v>NOT</v>
      </c>
      <c r="T96" s="79" t="str">
        <f t="shared" si="16"/>
        <v>NOT</v>
      </c>
      <c r="V96" s="79" t="str">
        <f t="shared" si="17"/>
        <v/>
      </c>
    </row>
    <row r="97" spans="1:22" x14ac:dyDescent="0.2">
      <c r="B97" s="104"/>
      <c r="C97" s="88"/>
      <c r="D97" s="81"/>
      <c r="F97" s="81"/>
      <c r="H97" s="81"/>
      <c r="J97" s="81"/>
      <c r="K97" s="88"/>
      <c r="L97" s="81"/>
      <c r="N97" s="227"/>
    </row>
    <row r="98" spans="1:22" x14ac:dyDescent="0.2">
      <c r="B98" s="104"/>
      <c r="C98" s="88"/>
      <c r="D98" s="81"/>
      <c r="F98" s="81"/>
      <c r="H98" s="81"/>
      <c r="J98" s="81"/>
      <c r="K98" s="88"/>
      <c r="L98" s="81"/>
      <c r="N98" s="227"/>
    </row>
    <row r="99" spans="1:22" ht="27" customHeight="1" x14ac:dyDescent="0.2">
      <c r="A99" s="247">
        <v>5</v>
      </c>
      <c r="B99" s="248" t="s">
        <v>290</v>
      </c>
      <c r="C99" s="249"/>
      <c r="D99" s="760"/>
      <c r="E99" s="761"/>
      <c r="F99" s="761"/>
      <c r="G99" s="761"/>
      <c r="H99" s="762"/>
      <c r="I99" s="250"/>
      <c r="J99" s="251" t="s">
        <v>18</v>
      </c>
      <c r="K99" s="249"/>
      <c r="L99" s="252">
        <f>L101+L112+L130+L148+L162+L174+L192</f>
        <v>94250</v>
      </c>
      <c r="M99" s="250"/>
      <c r="N99" s="253">
        <f>IF(L99=0,0%,L99/L$8)</f>
        <v>0.33750514762493061</v>
      </c>
      <c r="O99" s="94"/>
      <c r="P99" s="95"/>
      <c r="Q99" s="79">
        <f>IF(N99&gt;O99,D99,"")</f>
        <v>0</v>
      </c>
    </row>
    <row r="100" spans="1:22" s="76" customFormat="1" ht="7.5" customHeight="1" x14ac:dyDescent="0.2">
      <c r="A100" s="87"/>
      <c r="B100" s="88"/>
      <c r="C100" s="88"/>
      <c r="D100" s="70"/>
      <c r="E100" s="70"/>
      <c r="F100" s="70"/>
      <c r="G100" s="70"/>
      <c r="H100" s="70"/>
      <c r="I100" s="70"/>
      <c r="J100" s="70"/>
      <c r="K100" s="88"/>
      <c r="L100" s="70"/>
      <c r="M100" s="70"/>
      <c r="N100" s="70"/>
      <c r="O100" s="89"/>
      <c r="V100" s="79"/>
    </row>
    <row r="101" spans="1:22" ht="13.5" customHeight="1" x14ac:dyDescent="0.2">
      <c r="A101" s="276"/>
      <c r="B101" s="278" t="s">
        <v>291</v>
      </c>
      <c r="C101" s="277"/>
      <c r="D101" s="747" t="s">
        <v>166</v>
      </c>
      <c r="E101" s="748"/>
      <c r="F101" s="748"/>
      <c r="G101" s="748"/>
      <c r="H101" s="748"/>
      <c r="I101" s="279"/>
      <c r="J101" s="280" t="s">
        <v>18</v>
      </c>
      <c r="K101" s="88"/>
      <c r="L101" s="156">
        <f>SUM(L108:L110)</f>
        <v>23900</v>
      </c>
      <c r="M101" s="246"/>
      <c r="N101" s="147">
        <f>IF(L101=0,0%,L101/L$8)</f>
        <v>8.5584859716030151E-2</v>
      </c>
      <c r="O101" s="495">
        <f>IF(LEN(R101)&gt;3,1,0)</f>
        <v>0</v>
      </c>
      <c r="R101" s="79" t="str">
        <f>IF(AND(R107="NOT",S107="NOT",T107="NOT"),"NOT",D101)</f>
        <v>NOT</v>
      </c>
    </row>
    <row r="102" spans="1:22" s="76" customFormat="1" ht="3" customHeight="1" x14ac:dyDescent="0.2">
      <c r="A102" s="87"/>
      <c r="B102" s="88"/>
      <c r="C102" s="88"/>
      <c r="D102" s="70"/>
      <c r="E102" s="70"/>
      <c r="F102" s="70"/>
      <c r="G102" s="70"/>
      <c r="H102" s="70"/>
      <c r="I102" s="70"/>
      <c r="J102" s="70"/>
      <c r="K102" s="88"/>
      <c r="L102" s="70"/>
      <c r="M102" s="70"/>
      <c r="N102" s="70"/>
      <c r="O102" s="89"/>
      <c r="V102" s="79"/>
    </row>
    <row r="103" spans="1:22" x14ac:dyDescent="0.2">
      <c r="B103" s="742" t="s">
        <v>197</v>
      </c>
      <c r="C103" s="743"/>
      <c r="D103" s="743"/>
      <c r="E103" s="743"/>
      <c r="F103" s="743"/>
      <c r="H103" s="81"/>
      <c r="J103" s="81"/>
      <c r="K103" s="88"/>
      <c r="L103" s="81"/>
      <c r="N103" s="227"/>
      <c r="R103" s="79" t="str">
        <f>IF(AND(($L101&gt;0),ISBLANK(B105)),B103,"NOT")</f>
        <v>NOT</v>
      </c>
    </row>
    <row r="104" spans="1:22" ht="3" customHeight="1" x14ac:dyDescent="0.2">
      <c r="B104" s="104"/>
      <c r="C104" s="88"/>
      <c r="D104" s="81"/>
      <c r="F104" s="81"/>
      <c r="H104" s="81"/>
      <c r="J104" s="81"/>
      <c r="K104" s="88"/>
      <c r="L104" s="81"/>
      <c r="N104" s="227"/>
    </row>
    <row r="105" spans="1:22" ht="36" customHeight="1" x14ac:dyDescent="0.2">
      <c r="B105" s="790" t="s">
        <v>1061</v>
      </c>
      <c r="C105" s="745"/>
      <c r="D105" s="745"/>
      <c r="E105" s="745"/>
      <c r="F105" s="745"/>
      <c r="G105" s="745"/>
      <c r="H105" s="745"/>
      <c r="I105" s="745"/>
      <c r="J105" s="745"/>
      <c r="K105" s="745"/>
      <c r="L105" s="746"/>
      <c r="M105" s="70" t="s">
        <v>19</v>
      </c>
      <c r="N105" s="227"/>
    </row>
    <row r="106" spans="1:22" ht="3.75" customHeight="1" x14ac:dyDescent="0.2">
      <c r="B106" s="104"/>
      <c r="C106" s="88"/>
      <c r="D106" s="81"/>
      <c r="F106" s="81"/>
      <c r="H106" s="81"/>
      <c r="J106" s="81"/>
      <c r="K106" s="88"/>
      <c r="L106" s="81"/>
      <c r="N106" s="227"/>
    </row>
    <row r="107" spans="1:22" ht="12.75" customHeight="1" x14ac:dyDescent="0.2">
      <c r="B107" s="244" t="s">
        <v>17</v>
      </c>
      <c r="C107" s="88"/>
      <c r="D107" s="244" t="s">
        <v>580</v>
      </c>
      <c r="F107" s="244" t="s">
        <v>205</v>
      </c>
      <c r="H107" s="244" t="s">
        <v>16</v>
      </c>
      <c r="J107" s="244" t="s">
        <v>15</v>
      </c>
      <c r="K107" s="245"/>
      <c r="L107" s="103" t="s">
        <v>141</v>
      </c>
      <c r="N107" s="81"/>
      <c r="R107" s="255" t="str">
        <f>IF(AND(R108="NOT",R109="NOT",R110="NOT",R103="NOT"),"NOT",D101)</f>
        <v>NOT</v>
      </c>
      <c r="S107" s="255" t="str">
        <f>IF(AND(S108="NOT",S109="NOT",S110="NOT",R103="NOT"),"NOT",D101)</f>
        <v>NOT</v>
      </c>
      <c r="T107" s="255" t="str">
        <f>IF(AND(T108="NOT",T109="NOT",T110="NOT",R103="NOT"),"NOT",D101)</f>
        <v>NOT</v>
      </c>
    </row>
    <row r="108" spans="1:22" ht="51" x14ac:dyDescent="0.2">
      <c r="B108" s="512" t="s">
        <v>788</v>
      </c>
      <c r="C108" s="88"/>
      <c r="D108" s="260" t="s">
        <v>896</v>
      </c>
      <c r="E108" s="243"/>
      <c r="F108" s="513" t="s">
        <v>789</v>
      </c>
      <c r="G108" s="243"/>
      <c r="H108" s="262">
        <v>2.8</v>
      </c>
      <c r="I108" s="243"/>
      <c r="J108" s="262">
        <v>2000</v>
      </c>
      <c r="K108" s="88"/>
      <c r="L108" s="143">
        <f>TRUNC(H108*J108,2)</f>
        <v>5600</v>
      </c>
      <c r="N108" s="81"/>
      <c r="R108" s="79" t="str">
        <f>IF(AND(($L108&gt;0),ISBLANK(B108)),B108,"NOT")</f>
        <v>NOT</v>
      </c>
      <c r="S108" s="79" t="str">
        <f>IF(AND(($L108&gt;0),ISBLANK(D108)),D108,"NOT")</f>
        <v>NOT</v>
      </c>
      <c r="T108" s="79" t="str">
        <f>IF(AND(($L108&gt;0),ISBLANK(F108)),F108,"NOT")</f>
        <v>NOT</v>
      </c>
      <c r="V108" s="79" t="str">
        <f>LEFT(D108,3)</f>
        <v>12.</v>
      </c>
    </row>
    <row r="109" spans="1:22" ht="51" x14ac:dyDescent="0.2">
      <c r="B109" s="520" t="s">
        <v>790</v>
      </c>
      <c r="C109" s="88"/>
      <c r="D109" s="260" t="s">
        <v>896</v>
      </c>
      <c r="E109" s="243"/>
      <c r="F109" s="261" t="s">
        <v>789</v>
      </c>
      <c r="G109" s="243"/>
      <c r="H109" s="262">
        <v>2.8</v>
      </c>
      <c r="I109" s="243"/>
      <c r="J109" s="550">
        <v>6535.7142857142999</v>
      </c>
      <c r="K109" s="88"/>
      <c r="L109" s="143">
        <f>TRUNC(H109*J109,2)</f>
        <v>18300</v>
      </c>
      <c r="N109" s="81"/>
      <c r="R109" s="79" t="str">
        <f>IF(AND(($L109&gt;0),ISBLANK(B109)),B109,"NOT")</f>
        <v>NOT</v>
      </c>
      <c r="S109" s="79" t="str">
        <f>IF(AND(($L109&gt;0),ISBLANK(D109)),D109,"NOT")</f>
        <v>NOT</v>
      </c>
      <c r="T109" s="79" t="str">
        <f>IF(AND(($L109&gt;0),ISBLANK(F109)),F109,"NOT")</f>
        <v>NOT</v>
      </c>
      <c r="V109" s="79" t="str">
        <f>LEFT(D109,3)</f>
        <v>12.</v>
      </c>
    </row>
    <row r="110" spans="1:22" x14ac:dyDescent="0.2">
      <c r="B110" s="259"/>
      <c r="C110" s="88"/>
      <c r="D110" s="260"/>
      <c r="E110" s="243"/>
      <c r="F110" s="261"/>
      <c r="G110" s="243"/>
      <c r="H110" s="262"/>
      <c r="I110" s="243"/>
      <c r="J110" s="262"/>
      <c r="K110" s="88"/>
      <c r="L110" s="143">
        <f>TRUNC(H110*J110,2)</f>
        <v>0</v>
      </c>
      <c r="N110" s="81"/>
      <c r="R110" s="79" t="str">
        <f>IF(AND(($L110&gt;0),ISBLANK(B110)),B110,"NOT")</f>
        <v>NOT</v>
      </c>
      <c r="S110" s="79" t="str">
        <f>IF(AND(($L110&gt;0),ISBLANK(D110)),D110,"NOT")</f>
        <v>NOT</v>
      </c>
      <c r="T110" s="79" t="str">
        <f>IF(AND(($L110&gt;0),ISBLANK(F110)),F110,"NOT")</f>
        <v>NOT</v>
      </c>
      <c r="V110" s="79" t="str">
        <f>LEFT(D110,3)</f>
        <v/>
      </c>
    </row>
    <row r="111" spans="1:22" x14ac:dyDescent="0.2">
      <c r="B111" s="104"/>
      <c r="C111" s="88"/>
      <c r="D111" s="81"/>
      <c r="F111" s="81"/>
      <c r="H111" s="81"/>
      <c r="J111" s="81"/>
      <c r="K111" s="88"/>
      <c r="L111" s="81"/>
      <c r="N111" s="227"/>
    </row>
    <row r="112" spans="1:22" ht="25.5" customHeight="1" x14ac:dyDescent="0.2">
      <c r="A112" s="276"/>
      <c r="B112" s="278" t="s">
        <v>292</v>
      </c>
      <c r="C112" s="277"/>
      <c r="D112" s="747" t="s">
        <v>166</v>
      </c>
      <c r="E112" s="748"/>
      <c r="F112" s="748"/>
      <c r="G112" s="748"/>
      <c r="H112" s="748"/>
      <c r="I112" s="279"/>
      <c r="J112" s="280" t="s">
        <v>18</v>
      </c>
      <c r="K112" s="88"/>
      <c r="L112" s="156">
        <f>SUM(L119:L128)</f>
        <v>0</v>
      </c>
      <c r="M112" s="246"/>
      <c r="N112" s="147">
        <f>IF(L112=0,0%,L112/L$8)</f>
        <v>0</v>
      </c>
      <c r="O112" s="495">
        <f>IF(LEN(R112)&gt;3,1,0)</f>
        <v>0</v>
      </c>
      <c r="R112" s="79" t="str">
        <f>IF(AND(R118="NOT",S118="NOT",T118="NOT"),"NOT",D112)</f>
        <v>NOT</v>
      </c>
    </row>
    <row r="113" spans="1:22" s="76" customFormat="1" ht="3" customHeight="1" x14ac:dyDescent="0.2">
      <c r="A113" s="87"/>
      <c r="B113" s="88"/>
      <c r="C113" s="88"/>
      <c r="D113" s="70"/>
      <c r="E113" s="70"/>
      <c r="F113" s="70"/>
      <c r="G113" s="70"/>
      <c r="H113" s="70"/>
      <c r="I113" s="70"/>
      <c r="J113" s="70"/>
      <c r="K113" s="88"/>
      <c r="L113" s="70"/>
      <c r="M113" s="70"/>
      <c r="N113" s="70"/>
      <c r="O113" s="89"/>
      <c r="V113" s="79"/>
    </row>
    <row r="114" spans="1:22" ht="25.5" customHeight="1" x14ac:dyDescent="0.2">
      <c r="B114" s="749" t="s">
        <v>203</v>
      </c>
      <c r="C114" s="787"/>
      <c r="D114" s="787"/>
      <c r="E114" s="787"/>
      <c r="F114" s="787"/>
      <c r="H114" s="81"/>
      <c r="J114" s="81"/>
      <c r="K114" s="88"/>
      <c r="L114" s="81"/>
      <c r="N114" s="227"/>
      <c r="R114" s="79" t="str">
        <f>IF(AND(($L112&gt;0),ISBLANK(B116)),B114,"NOT")</f>
        <v>NOT</v>
      </c>
    </row>
    <row r="115" spans="1:22" ht="3" customHeight="1" x14ac:dyDescent="0.2">
      <c r="B115" s="104"/>
      <c r="C115" s="88"/>
      <c r="D115" s="81"/>
      <c r="F115" s="81"/>
      <c r="H115" s="81"/>
      <c r="J115" s="81"/>
      <c r="K115" s="88"/>
      <c r="L115" s="81"/>
      <c r="N115" s="227"/>
    </row>
    <row r="116" spans="1:22" ht="60" customHeight="1" x14ac:dyDescent="0.2">
      <c r="B116" s="763"/>
      <c r="C116" s="745"/>
      <c r="D116" s="745"/>
      <c r="E116" s="745"/>
      <c r="F116" s="745"/>
      <c r="G116" s="745"/>
      <c r="H116" s="745"/>
      <c r="I116" s="745"/>
      <c r="J116" s="745"/>
      <c r="K116" s="745"/>
      <c r="L116" s="746"/>
      <c r="M116" s="70" t="s">
        <v>19</v>
      </c>
      <c r="N116" s="227"/>
    </row>
    <row r="117" spans="1:22" ht="3.75" customHeight="1" x14ac:dyDescent="0.2">
      <c r="B117" s="104"/>
      <c r="C117" s="88"/>
      <c r="D117" s="81"/>
      <c r="F117" s="81"/>
      <c r="H117" s="81"/>
      <c r="J117" s="81"/>
      <c r="K117" s="88"/>
      <c r="L117" s="81"/>
      <c r="N117" s="227"/>
    </row>
    <row r="118" spans="1:22" ht="25.5" x14ac:dyDescent="0.2">
      <c r="B118" s="244" t="s">
        <v>579</v>
      </c>
      <c r="C118" s="88"/>
      <c r="D118" s="244" t="s">
        <v>580</v>
      </c>
      <c r="F118" s="244" t="s">
        <v>205</v>
      </c>
      <c r="H118" s="244" t="s">
        <v>16</v>
      </c>
      <c r="J118" s="244" t="s">
        <v>15</v>
      </c>
      <c r="K118" s="245"/>
      <c r="L118" s="103" t="s">
        <v>141</v>
      </c>
      <c r="N118" s="81"/>
      <c r="R118" s="255" t="str">
        <f>IF(AND(R119="NOT",R120="NOT",R121="NOT",R122="NOT",R123="NOT",R124="NOT",R125="NOT",R126="NOT",R127="NOT",R128="NOT",R114="NOT"),"NOT",D112)</f>
        <v>NOT</v>
      </c>
      <c r="S118" s="255" t="str">
        <f>IF(AND(S119="NOT",S120="NOT",S121="NOT",S122="NOT",S123="NOT",S124="NOT",S125="NOT",S126="NOT",S127="NOT",S128="NOT",R114="NOT"),"NOT",D112)</f>
        <v>NOT</v>
      </c>
      <c r="T118" s="255" t="str">
        <f>IF(AND(T119="NOT",T120="NOT",T121="NOT",T122="NOT",T123="NOT",T124="NOT",T125="NOT",T126="NOT",T127="NOT",T128="NOT",R114="NOT"),"NOT",D112)</f>
        <v>NOT</v>
      </c>
    </row>
    <row r="119" spans="1:22" x14ac:dyDescent="0.2">
      <c r="B119" s="536"/>
      <c r="C119" s="88"/>
      <c r="D119" s="260"/>
      <c r="E119" s="243"/>
      <c r="F119" s="513"/>
      <c r="G119" s="243"/>
      <c r="H119" s="262"/>
      <c r="I119" s="243"/>
      <c r="J119" s="262"/>
      <c r="K119" s="88"/>
      <c r="L119" s="143">
        <f t="shared" ref="L119:L128" si="18">TRUNC(H119*J119,2)</f>
        <v>0</v>
      </c>
      <c r="N119" s="81"/>
      <c r="R119" s="79" t="str">
        <f t="shared" ref="R119:R128" si="19">IF(AND(($L119&gt;0),ISBLANK(B119)),B119,"NOT")</f>
        <v>NOT</v>
      </c>
      <c r="S119" s="79" t="str">
        <f t="shared" ref="S119:S128" si="20">IF(AND(($L119&gt;0),ISBLANK(D119)),D119,"NOT")</f>
        <v>NOT</v>
      </c>
      <c r="T119" s="79" t="str">
        <f t="shared" ref="T119:T128" si="21">IF(AND(($L119&gt;0),ISBLANK(F119)),F119,"NOT")</f>
        <v>NOT</v>
      </c>
      <c r="V119" s="79" t="str">
        <f t="shared" ref="V119:V128" si="22">LEFT(D119,3)</f>
        <v/>
      </c>
    </row>
    <row r="120" spans="1:22" x14ac:dyDescent="0.2">
      <c r="B120" s="259"/>
      <c r="C120" s="88"/>
      <c r="D120" s="260"/>
      <c r="E120" s="243"/>
      <c r="F120" s="261"/>
      <c r="G120" s="243"/>
      <c r="H120" s="262"/>
      <c r="I120" s="243"/>
      <c r="J120" s="262"/>
      <c r="K120" s="88"/>
      <c r="L120" s="143">
        <f t="shared" si="18"/>
        <v>0</v>
      </c>
      <c r="N120" s="81"/>
      <c r="R120" s="79" t="str">
        <f t="shared" si="19"/>
        <v>NOT</v>
      </c>
      <c r="S120" s="79" t="str">
        <f t="shared" si="20"/>
        <v>NOT</v>
      </c>
      <c r="T120" s="79" t="str">
        <f t="shared" si="21"/>
        <v>NOT</v>
      </c>
      <c r="V120" s="79" t="str">
        <f t="shared" si="22"/>
        <v/>
      </c>
    </row>
    <row r="121" spans="1:22" x14ac:dyDescent="0.2">
      <c r="B121" s="259"/>
      <c r="C121" s="88"/>
      <c r="D121" s="260"/>
      <c r="E121" s="243"/>
      <c r="F121" s="261"/>
      <c r="G121" s="243"/>
      <c r="H121" s="262"/>
      <c r="I121" s="243"/>
      <c r="J121" s="262"/>
      <c r="K121" s="88"/>
      <c r="L121" s="143">
        <f t="shared" si="18"/>
        <v>0</v>
      </c>
      <c r="N121" s="81"/>
      <c r="R121" s="79" t="str">
        <f t="shared" si="19"/>
        <v>NOT</v>
      </c>
      <c r="S121" s="79" t="str">
        <f t="shared" si="20"/>
        <v>NOT</v>
      </c>
      <c r="T121" s="79" t="str">
        <f t="shared" si="21"/>
        <v>NOT</v>
      </c>
      <c r="V121" s="79" t="str">
        <f t="shared" si="22"/>
        <v/>
      </c>
    </row>
    <row r="122" spans="1:22" x14ac:dyDescent="0.2">
      <c r="B122" s="259"/>
      <c r="C122" s="88"/>
      <c r="D122" s="260"/>
      <c r="E122" s="243"/>
      <c r="F122" s="261"/>
      <c r="G122" s="243"/>
      <c r="H122" s="262"/>
      <c r="I122" s="243"/>
      <c r="J122" s="262"/>
      <c r="K122" s="88"/>
      <c r="L122" s="143">
        <f t="shared" si="18"/>
        <v>0</v>
      </c>
      <c r="N122" s="81"/>
      <c r="R122" s="79" t="str">
        <f t="shared" si="19"/>
        <v>NOT</v>
      </c>
      <c r="S122" s="79" t="str">
        <f t="shared" si="20"/>
        <v>NOT</v>
      </c>
      <c r="T122" s="79" t="str">
        <f t="shared" si="21"/>
        <v>NOT</v>
      </c>
      <c r="V122" s="79" t="str">
        <f t="shared" si="22"/>
        <v/>
      </c>
    </row>
    <row r="123" spans="1:22" x14ac:dyDescent="0.2">
      <c r="B123" s="259"/>
      <c r="C123" s="88"/>
      <c r="D123" s="260"/>
      <c r="E123" s="243"/>
      <c r="F123" s="261"/>
      <c r="G123" s="243"/>
      <c r="H123" s="262"/>
      <c r="I123" s="243"/>
      <c r="J123" s="262"/>
      <c r="K123" s="88"/>
      <c r="L123" s="143">
        <f t="shared" si="18"/>
        <v>0</v>
      </c>
      <c r="N123" s="81"/>
      <c r="R123" s="79" t="str">
        <f t="shared" si="19"/>
        <v>NOT</v>
      </c>
      <c r="S123" s="79" t="str">
        <f t="shared" si="20"/>
        <v>NOT</v>
      </c>
      <c r="T123" s="79" t="str">
        <f t="shared" si="21"/>
        <v>NOT</v>
      </c>
      <c r="V123" s="79" t="str">
        <f t="shared" si="22"/>
        <v/>
      </c>
    </row>
    <row r="124" spans="1:22" x14ac:dyDescent="0.2">
      <c r="B124" s="259"/>
      <c r="C124" s="88"/>
      <c r="D124" s="260"/>
      <c r="E124" s="243"/>
      <c r="F124" s="261"/>
      <c r="G124" s="243"/>
      <c r="H124" s="262"/>
      <c r="I124" s="243"/>
      <c r="J124" s="262"/>
      <c r="K124" s="88"/>
      <c r="L124" s="143">
        <f t="shared" si="18"/>
        <v>0</v>
      </c>
      <c r="N124" s="81"/>
      <c r="R124" s="79" t="str">
        <f t="shared" si="19"/>
        <v>NOT</v>
      </c>
      <c r="S124" s="79" t="str">
        <f t="shared" si="20"/>
        <v>NOT</v>
      </c>
      <c r="T124" s="79" t="str">
        <f t="shared" si="21"/>
        <v>NOT</v>
      </c>
      <c r="V124" s="79" t="str">
        <f t="shared" si="22"/>
        <v/>
      </c>
    </row>
    <row r="125" spans="1:22" x14ac:dyDescent="0.2">
      <c r="B125" s="259"/>
      <c r="C125" s="88"/>
      <c r="D125" s="260"/>
      <c r="E125" s="243"/>
      <c r="F125" s="261"/>
      <c r="G125" s="243"/>
      <c r="H125" s="262"/>
      <c r="I125" s="243"/>
      <c r="J125" s="262"/>
      <c r="K125" s="88"/>
      <c r="L125" s="143">
        <f t="shared" si="18"/>
        <v>0</v>
      </c>
      <c r="N125" s="81"/>
      <c r="R125" s="79" t="str">
        <f t="shared" si="19"/>
        <v>NOT</v>
      </c>
      <c r="S125" s="79" t="str">
        <f t="shared" si="20"/>
        <v>NOT</v>
      </c>
      <c r="T125" s="79" t="str">
        <f t="shared" si="21"/>
        <v>NOT</v>
      </c>
      <c r="V125" s="79" t="str">
        <f t="shared" si="22"/>
        <v/>
      </c>
    </row>
    <row r="126" spans="1:22" x14ac:dyDescent="0.2">
      <c r="B126" s="259"/>
      <c r="C126" s="88"/>
      <c r="D126" s="260"/>
      <c r="E126" s="243"/>
      <c r="F126" s="261"/>
      <c r="G126" s="243"/>
      <c r="H126" s="262"/>
      <c r="I126" s="243"/>
      <c r="J126" s="262"/>
      <c r="K126" s="88"/>
      <c r="L126" s="143">
        <f t="shared" si="18"/>
        <v>0</v>
      </c>
      <c r="N126" s="81"/>
      <c r="R126" s="79" t="str">
        <f t="shared" si="19"/>
        <v>NOT</v>
      </c>
      <c r="S126" s="79" t="str">
        <f t="shared" si="20"/>
        <v>NOT</v>
      </c>
      <c r="T126" s="79" t="str">
        <f t="shared" si="21"/>
        <v>NOT</v>
      </c>
      <c r="V126" s="79" t="str">
        <f t="shared" si="22"/>
        <v/>
      </c>
    </row>
    <row r="127" spans="1:22" x14ac:dyDescent="0.2">
      <c r="B127" s="259"/>
      <c r="C127" s="88"/>
      <c r="D127" s="260"/>
      <c r="E127" s="243"/>
      <c r="F127" s="261"/>
      <c r="G127" s="243"/>
      <c r="H127" s="262"/>
      <c r="I127" s="243"/>
      <c r="J127" s="262"/>
      <c r="K127" s="88"/>
      <c r="L127" s="143">
        <f t="shared" si="18"/>
        <v>0</v>
      </c>
      <c r="N127" s="81"/>
      <c r="R127" s="79" t="str">
        <f t="shared" si="19"/>
        <v>NOT</v>
      </c>
      <c r="S127" s="79" t="str">
        <f t="shared" si="20"/>
        <v>NOT</v>
      </c>
      <c r="T127" s="79" t="str">
        <f t="shared" si="21"/>
        <v>NOT</v>
      </c>
      <c r="V127" s="79" t="str">
        <f t="shared" si="22"/>
        <v/>
      </c>
    </row>
    <row r="128" spans="1:22" x14ac:dyDescent="0.2">
      <c r="B128" s="259"/>
      <c r="C128" s="88"/>
      <c r="D128" s="260"/>
      <c r="E128" s="243"/>
      <c r="F128" s="261"/>
      <c r="G128" s="243"/>
      <c r="H128" s="262"/>
      <c r="I128" s="243"/>
      <c r="J128" s="262"/>
      <c r="K128" s="88"/>
      <c r="L128" s="143">
        <f t="shared" si="18"/>
        <v>0</v>
      </c>
      <c r="N128" s="81"/>
      <c r="R128" s="79" t="str">
        <f t="shared" si="19"/>
        <v>NOT</v>
      </c>
      <c r="S128" s="79" t="str">
        <f t="shared" si="20"/>
        <v>NOT</v>
      </c>
      <c r="T128" s="79" t="str">
        <f t="shared" si="21"/>
        <v>NOT</v>
      </c>
      <c r="V128" s="79" t="str">
        <f t="shared" si="22"/>
        <v/>
      </c>
    </row>
    <row r="129" spans="1:22" s="76" customFormat="1" ht="12.75" customHeight="1" x14ac:dyDescent="0.2">
      <c r="A129" s="87"/>
      <c r="B129" s="88"/>
      <c r="C129" s="88"/>
      <c r="D129" s="70"/>
      <c r="E129" s="70"/>
      <c r="F129" s="70"/>
      <c r="G129" s="70"/>
      <c r="H129" s="70"/>
      <c r="I129" s="70"/>
      <c r="J129" s="70"/>
      <c r="K129" s="88"/>
      <c r="L129" s="70"/>
      <c r="M129" s="70"/>
      <c r="N129" s="70"/>
      <c r="O129" s="89"/>
      <c r="V129" s="79"/>
    </row>
    <row r="130" spans="1:22" ht="28.5" customHeight="1" x14ac:dyDescent="0.2">
      <c r="A130" s="276"/>
      <c r="B130" s="278" t="s">
        <v>295</v>
      </c>
      <c r="C130" s="277"/>
      <c r="D130" s="747" t="s">
        <v>166</v>
      </c>
      <c r="E130" s="748"/>
      <c r="F130" s="748"/>
      <c r="G130" s="748"/>
      <c r="H130" s="748"/>
      <c r="I130" s="279"/>
      <c r="J130" s="280" t="s">
        <v>18</v>
      </c>
      <c r="K130" s="88"/>
      <c r="L130" s="156">
        <f>SUM(L137:L146)</f>
        <v>34550</v>
      </c>
      <c r="M130" s="246"/>
      <c r="N130" s="147">
        <f>IF(L130=0,0%,L130/L$8)</f>
        <v>0.12372204615852894</v>
      </c>
      <c r="O130" s="495">
        <f>IF(LEN(R130)&gt;3,1,0)</f>
        <v>0</v>
      </c>
      <c r="R130" s="79" t="str">
        <f>IF(AND(R136="NOT",S136="NOT",T136="NOT"),"NOT",D130)</f>
        <v>NOT</v>
      </c>
    </row>
    <row r="131" spans="1:22" s="76" customFormat="1" ht="3" customHeight="1" x14ac:dyDescent="0.2">
      <c r="A131" s="87"/>
      <c r="B131" s="88"/>
      <c r="C131" s="88"/>
      <c r="D131" s="70"/>
      <c r="E131" s="70"/>
      <c r="F131" s="70"/>
      <c r="G131" s="70"/>
      <c r="H131" s="70"/>
      <c r="I131" s="70"/>
      <c r="J131" s="70"/>
      <c r="K131" s="88"/>
      <c r="L131" s="70"/>
      <c r="M131" s="70"/>
      <c r="N131" s="70"/>
      <c r="O131" s="89"/>
      <c r="V131" s="79"/>
    </row>
    <row r="132" spans="1:22" ht="27.75" customHeight="1" x14ac:dyDescent="0.2">
      <c r="B132" s="742" t="s">
        <v>198</v>
      </c>
      <c r="C132" s="743"/>
      <c r="D132" s="743"/>
      <c r="E132" s="743"/>
      <c r="F132" s="743"/>
      <c r="H132" s="81"/>
      <c r="J132" s="81"/>
      <c r="K132" s="88"/>
      <c r="L132" s="81"/>
      <c r="N132" s="227"/>
      <c r="R132" s="79" t="str">
        <f>IF(AND(($L130&gt;0),ISBLANK(B134)),B132,"NOT")</f>
        <v>NOT</v>
      </c>
    </row>
    <row r="133" spans="1:22" ht="3" customHeight="1" x14ac:dyDescent="0.2">
      <c r="B133" s="104"/>
      <c r="C133" s="88"/>
      <c r="D133" s="81"/>
      <c r="F133" s="81"/>
      <c r="H133" s="81"/>
      <c r="J133" s="81"/>
      <c r="K133" s="88"/>
      <c r="L133" s="81"/>
      <c r="N133" s="227"/>
    </row>
    <row r="134" spans="1:22" ht="81" customHeight="1" x14ac:dyDescent="0.2">
      <c r="B134" s="790" t="s">
        <v>791</v>
      </c>
      <c r="C134" s="745"/>
      <c r="D134" s="745"/>
      <c r="E134" s="745"/>
      <c r="F134" s="745"/>
      <c r="G134" s="745"/>
      <c r="H134" s="745"/>
      <c r="I134" s="745"/>
      <c r="J134" s="745"/>
      <c r="K134" s="745"/>
      <c r="L134" s="746"/>
      <c r="M134" s="70" t="s">
        <v>19</v>
      </c>
      <c r="N134" s="227"/>
    </row>
    <row r="135" spans="1:22" ht="3.75" customHeight="1" x14ac:dyDescent="0.2">
      <c r="B135" s="104"/>
      <c r="C135" s="88"/>
      <c r="D135" s="81"/>
      <c r="F135" s="81"/>
      <c r="H135" s="81"/>
      <c r="J135" s="81"/>
      <c r="K135" s="88"/>
      <c r="L135" s="81"/>
      <c r="N135" s="227"/>
    </row>
    <row r="136" spans="1:22" ht="38.25" x14ac:dyDescent="0.2">
      <c r="B136" s="244" t="s">
        <v>199</v>
      </c>
      <c r="C136" s="88"/>
      <c r="D136" s="244" t="s">
        <v>580</v>
      </c>
      <c r="F136" s="244" t="s">
        <v>205</v>
      </c>
      <c r="H136" s="244" t="s">
        <v>16</v>
      </c>
      <c r="J136" s="244" t="s">
        <v>15</v>
      </c>
      <c r="K136" s="245"/>
      <c r="L136" s="103" t="s">
        <v>141</v>
      </c>
      <c r="N136" s="81"/>
      <c r="R136" s="255" t="str">
        <f>IF(AND(R137="NOT",R138="NOT",R139="NOT",R140="NOT",R141="NOT",R142="NOT",R143="NOT",R144="NOT",R145="NOT",R146="NOT",R132="NOT"),"NOT",D130)</f>
        <v>NOT</v>
      </c>
      <c r="S136" s="255" t="str">
        <f>IF(AND(S137="NOT",S138="NOT",S139="NOT",S140="NOT",S141="NOT",S142="NOT",S143="NOT",S144="NOT",S145="NOT",S146="NOT",R132="NOT"),"NOT",D130)</f>
        <v>NOT</v>
      </c>
      <c r="T136" s="255" t="str">
        <f>IF(AND(T137="NOT",T138="NOT",T139="NOT",T140="NOT",T141="NOT",T142="NOT",T143="NOT",T144="NOT",T145="NOT",T146="NOT",R132="NOT"),"NOT",D130)</f>
        <v>NOT</v>
      </c>
    </row>
    <row r="137" spans="1:22" ht="38.25" x14ac:dyDescent="0.2">
      <c r="B137" s="520" t="s">
        <v>792</v>
      </c>
      <c r="C137" s="88"/>
      <c r="D137" s="260" t="s">
        <v>766</v>
      </c>
      <c r="E137" s="243"/>
      <c r="F137" s="513" t="s">
        <v>786</v>
      </c>
      <c r="G137" s="243"/>
      <c r="H137" s="262">
        <v>2</v>
      </c>
      <c r="I137" s="243"/>
      <c r="J137" s="262">
        <v>2500</v>
      </c>
      <c r="K137" s="88"/>
      <c r="L137" s="143">
        <f t="shared" ref="L137:L146" si="23">TRUNC(H137*J137,2)</f>
        <v>5000</v>
      </c>
      <c r="N137" s="81"/>
      <c r="R137" s="79" t="str">
        <f t="shared" ref="R137:R146" si="24">IF(AND(($L137&gt;0),ISBLANK(B137)),B137,"NOT")</f>
        <v>NOT</v>
      </c>
      <c r="S137" s="79" t="str">
        <f t="shared" ref="S137:S146" si="25">IF(AND(($L137&gt;0),ISBLANK(D137)),D137,"NOT")</f>
        <v>NOT</v>
      </c>
      <c r="T137" s="79" t="str">
        <f t="shared" ref="T137:T146" si="26">IF(AND(($L137&gt;0),ISBLANK(F137)),F137,"NOT")</f>
        <v>NOT</v>
      </c>
      <c r="V137" s="79" t="str">
        <f t="shared" ref="V137:V160" si="27">LEFT(D137,3)</f>
        <v xml:space="preserve">8. </v>
      </c>
    </row>
    <row r="138" spans="1:22" ht="38.25" x14ac:dyDescent="0.2">
      <c r="B138" s="520" t="s">
        <v>793</v>
      </c>
      <c r="C138" s="88"/>
      <c r="D138" s="260" t="s">
        <v>768</v>
      </c>
      <c r="E138" s="243"/>
      <c r="F138" s="513" t="s">
        <v>786</v>
      </c>
      <c r="G138" s="243"/>
      <c r="H138" s="262">
        <v>1</v>
      </c>
      <c r="I138" s="243"/>
      <c r="J138" s="262">
        <v>10000</v>
      </c>
      <c r="K138" s="88"/>
      <c r="L138" s="143">
        <f t="shared" si="23"/>
        <v>10000</v>
      </c>
      <c r="N138" s="81"/>
      <c r="R138" s="79" t="str">
        <f t="shared" si="24"/>
        <v>NOT</v>
      </c>
      <c r="S138" s="79" t="str">
        <f t="shared" si="25"/>
        <v>NOT</v>
      </c>
      <c r="T138" s="79" t="str">
        <f t="shared" si="26"/>
        <v>NOT</v>
      </c>
      <c r="V138" s="79" t="str">
        <f t="shared" si="27"/>
        <v xml:space="preserve">6. </v>
      </c>
    </row>
    <row r="139" spans="1:22" ht="25.5" x14ac:dyDescent="0.2">
      <c r="B139" s="520" t="s">
        <v>794</v>
      </c>
      <c r="C139" s="88"/>
      <c r="D139" s="260" t="s">
        <v>724</v>
      </c>
      <c r="E139" s="243"/>
      <c r="F139" s="513" t="s">
        <v>786</v>
      </c>
      <c r="G139" s="243"/>
      <c r="H139" s="262">
        <v>3</v>
      </c>
      <c r="I139" s="243"/>
      <c r="J139" s="262">
        <v>500</v>
      </c>
      <c r="K139" s="88"/>
      <c r="L139" s="143">
        <f t="shared" si="23"/>
        <v>1500</v>
      </c>
      <c r="N139" s="81"/>
      <c r="R139" s="79" t="str">
        <f t="shared" si="24"/>
        <v>NOT</v>
      </c>
      <c r="S139" s="79" t="str">
        <f t="shared" si="25"/>
        <v>NOT</v>
      </c>
      <c r="T139" s="79" t="str">
        <f t="shared" si="26"/>
        <v>NOT</v>
      </c>
      <c r="V139" s="79" t="str">
        <f t="shared" si="27"/>
        <v xml:space="preserve">1. </v>
      </c>
    </row>
    <row r="140" spans="1:22" ht="38.25" x14ac:dyDescent="0.2">
      <c r="B140" s="520" t="s">
        <v>795</v>
      </c>
      <c r="C140" s="88"/>
      <c r="D140" s="260" t="s">
        <v>797</v>
      </c>
      <c r="E140" s="243"/>
      <c r="F140" s="513" t="s">
        <v>786</v>
      </c>
      <c r="G140" s="243"/>
      <c r="H140" s="262">
        <v>1</v>
      </c>
      <c r="I140" s="243"/>
      <c r="J140" s="262">
        <v>15000</v>
      </c>
      <c r="K140" s="88"/>
      <c r="L140" s="143">
        <f t="shared" si="23"/>
        <v>15000</v>
      </c>
      <c r="N140" s="81"/>
      <c r="R140" s="79" t="str">
        <f t="shared" si="24"/>
        <v>NOT</v>
      </c>
      <c r="S140" s="79" t="str">
        <f t="shared" si="25"/>
        <v>NOT</v>
      </c>
      <c r="T140" s="79" t="str">
        <f t="shared" si="26"/>
        <v>NOT</v>
      </c>
      <c r="V140" s="79" t="str">
        <f t="shared" si="27"/>
        <v xml:space="preserve">7. </v>
      </c>
    </row>
    <row r="141" spans="1:22" ht="38.25" x14ac:dyDescent="0.2">
      <c r="B141" s="520" t="s">
        <v>796</v>
      </c>
      <c r="C141" s="88"/>
      <c r="D141" s="260" t="s">
        <v>767</v>
      </c>
      <c r="E141" s="243"/>
      <c r="F141" s="513" t="s">
        <v>786</v>
      </c>
      <c r="G141" s="243"/>
      <c r="H141" s="262">
        <v>1</v>
      </c>
      <c r="I141" s="243"/>
      <c r="J141" s="262">
        <v>3050</v>
      </c>
      <c r="K141" s="88"/>
      <c r="L141" s="143">
        <f t="shared" si="23"/>
        <v>3050</v>
      </c>
      <c r="N141" s="81"/>
      <c r="R141" s="79" t="str">
        <f t="shared" si="24"/>
        <v>NOT</v>
      </c>
      <c r="S141" s="79" t="str">
        <f t="shared" si="25"/>
        <v>NOT</v>
      </c>
      <c r="T141" s="79" t="str">
        <f t="shared" si="26"/>
        <v>NOT</v>
      </c>
      <c r="V141" s="79" t="str">
        <f t="shared" si="27"/>
        <v xml:space="preserve">3. </v>
      </c>
    </row>
    <row r="142" spans="1:22" x14ac:dyDescent="0.2">
      <c r="B142" s="259"/>
      <c r="C142" s="88"/>
      <c r="D142" s="260"/>
      <c r="E142" s="243"/>
      <c r="F142" s="261"/>
      <c r="G142" s="243"/>
      <c r="H142" s="262"/>
      <c r="I142" s="243"/>
      <c r="J142" s="262"/>
      <c r="K142" s="88"/>
      <c r="L142" s="143">
        <f t="shared" si="23"/>
        <v>0</v>
      </c>
      <c r="N142" s="81"/>
      <c r="R142" s="79" t="str">
        <f t="shared" si="24"/>
        <v>NOT</v>
      </c>
      <c r="S142" s="79" t="str">
        <f t="shared" si="25"/>
        <v>NOT</v>
      </c>
      <c r="T142" s="79" t="str">
        <f t="shared" si="26"/>
        <v>NOT</v>
      </c>
      <c r="V142" s="79" t="str">
        <f t="shared" si="27"/>
        <v/>
      </c>
    </row>
    <row r="143" spans="1:22" x14ac:dyDescent="0.2">
      <c r="B143" s="259"/>
      <c r="C143" s="88"/>
      <c r="D143" s="260"/>
      <c r="E143" s="243"/>
      <c r="F143" s="261"/>
      <c r="G143" s="243"/>
      <c r="H143" s="262"/>
      <c r="I143" s="243"/>
      <c r="J143" s="262"/>
      <c r="K143" s="88"/>
      <c r="L143" s="143">
        <f t="shared" si="23"/>
        <v>0</v>
      </c>
      <c r="N143" s="81"/>
      <c r="R143" s="79" t="str">
        <f t="shared" si="24"/>
        <v>NOT</v>
      </c>
      <c r="S143" s="79" t="str">
        <f t="shared" si="25"/>
        <v>NOT</v>
      </c>
      <c r="T143" s="79" t="str">
        <f t="shared" si="26"/>
        <v>NOT</v>
      </c>
      <c r="V143" s="79" t="str">
        <f t="shared" si="27"/>
        <v/>
      </c>
    </row>
    <row r="144" spans="1:22" x14ac:dyDescent="0.2">
      <c r="B144" s="259"/>
      <c r="C144" s="88"/>
      <c r="D144" s="260"/>
      <c r="E144" s="243"/>
      <c r="F144" s="261"/>
      <c r="G144" s="243"/>
      <c r="H144" s="262"/>
      <c r="I144" s="243"/>
      <c r="J144" s="262"/>
      <c r="K144" s="88"/>
      <c r="L144" s="143">
        <f t="shared" si="23"/>
        <v>0</v>
      </c>
      <c r="N144" s="81"/>
      <c r="R144" s="79" t="str">
        <f t="shared" si="24"/>
        <v>NOT</v>
      </c>
      <c r="S144" s="79" t="str">
        <f t="shared" si="25"/>
        <v>NOT</v>
      </c>
      <c r="T144" s="79" t="str">
        <f t="shared" si="26"/>
        <v>NOT</v>
      </c>
      <c r="V144" s="79" t="str">
        <f t="shared" si="27"/>
        <v/>
      </c>
    </row>
    <row r="145" spans="1:22" x14ac:dyDescent="0.2">
      <c r="B145" s="259"/>
      <c r="C145" s="88"/>
      <c r="D145" s="260"/>
      <c r="E145" s="243"/>
      <c r="F145" s="261"/>
      <c r="G145" s="243"/>
      <c r="H145" s="262"/>
      <c r="I145" s="243"/>
      <c r="J145" s="262"/>
      <c r="K145" s="88"/>
      <c r="L145" s="143">
        <f t="shared" si="23"/>
        <v>0</v>
      </c>
      <c r="N145" s="81"/>
      <c r="R145" s="79" t="str">
        <f t="shared" si="24"/>
        <v>NOT</v>
      </c>
      <c r="S145" s="79" t="str">
        <f t="shared" si="25"/>
        <v>NOT</v>
      </c>
      <c r="T145" s="79" t="str">
        <f t="shared" si="26"/>
        <v>NOT</v>
      </c>
      <c r="V145" s="79" t="str">
        <f t="shared" si="27"/>
        <v/>
      </c>
    </row>
    <row r="146" spans="1:22" x14ac:dyDescent="0.2">
      <c r="B146" s="259"/>
      <c r="C146" s="88"/>
      <c r="D146" s="260"/>
      <c r="E146" s="243"/>
      <c r="F146" s="261"/>
      <c r="G146" s="243"/>
      <c r="H146" s="262"/>
      <c r="I146" s="243"/>
      <c r="J146" s="262"/>
      <c r="K146" s="88"/>
      <c r="L146" s="143">
        <f t="shared" si="23"/>
        <v>0</v>
      </c>
      <c r="N146" s="81"/>
      <c r="R146" s="79" t="str">
        <f t="shared" si="24"/>
        <v>NOT</v>
      </c>
      <c r="S146" s="79" t="str">
        <f t="shared" si="25"/>
        <v>NOT</v>
      </c>
      <c r="T146" s="79" t="str">
        <f t="shared" si="26"/>
        <v>NOT</v>
      </c>
      <c r="V146" s="79" t="str">
        <f t="shared" si="27"/>
        <v/>
      </c>
    </row>
    <row r="147" spans="1:22" s="76" customFormat="1" x14ac:dyDescent="0.2">
      <c r="A147" s="87"/>
      <c r="B147" s="88"/>
      <c r="C147" s="88"/>
      <c r="D147" s="70"/>
      <c r="E147" s="70"/>
      <c r="F147" s="70"/>
      <c r="G147" s="70"/>
      <c r="H147" s="70"/>
      <c r="I147" s="70"/>
      <c r="J147" s="70"/>
      <c r="K147" s="88"/>
      <c r="L147" s="70"/>
      <c r="M147" s="70"/>
      <c r="N147" s="70"/>
      <c r="O147" s="89"/>
      <c r="V147" s="79"/>
    </row>
    <row r="148" spans="1:22" ht="28.5" customHeight="1" x14ac:dyDescent="0.2">
      <c r="A148" s="276"/>
      <c r="B148" s="278" t="s">
        <v>293</v>
      </c>
      <c r="C148" s="277"/>
      <c r="D148" s="747" t="s">
        <v>166</v>
      </c>
      <c r="E148" s="748"/>
      <c r="F148" s="748"/>
      <c r="G148" s="748"/>
      <c r="H148" s="748"/>
      <c r="I148" s="279"/>
      <c r="J148" s="280" t="s">
        <v>18</v>
      </c>
      <c r="K148" s="88"/>
      <c r="L148" s="156">
        <f>SUM(L155:L160)</f>
        <v>0</v>
      </c>
      <c r="M148" s="246"/>
      <c r="N148" s="147">
        <f>IF(L148=0,0%,L148/L$8)</f>
        <v>0</v>
      </c>
      <c r="O148" s="495">
        <f>IF(LEN(R148)&gt;3,1,0)</f>
        <v>0</v>
      </c>
      <c r="R148" s="79" t="str">
        <f>IF(AND(R154="NOT",S154="NOT",T154="NOT"),"NOT",D148)</f>
        <v>NOT</v>
      </c>
    </row>
    <row r="149" spans="1:22" s="76" customFormat="1" ht="3" customHeight="1" x14ac:dyDescent="0.2">
      <c r="A149" s="87"/>
      <c r="B149" s="788"/>
      <c r="C149" s="789"/>
      <c r="D149" s="789"/>
      <c r="E149" s="789"/>
      <c r="F149" s="789"/>
      <c r="G149" s="789"/>
      <c r="H149" s="789"/>
      <c r="I149" s="789"/>
      <c r="J149" s="789"/>
      <c r="K149" s="789"/>
      <c r="L149" s="789"/>
      <c r="M149" s="70"/>
      <c r="N149" s="70"/>
      <c r="O149" s="353"/>
      <c r="P149" s="270"/>
      <c r="Q149" s="231" t="str">
        <f>IF(N148&gt;O149,B149,"")</f>
        <v/>
      </c>
      <c r="V149" s="79"/>
    </row>
    <row r="150" spans="1:22" x14ac:dyDescent="0.2">
      <c r="B150" s="742" t="s">
        <v>197</v>
      </c>
      <c r="C150" s="743"/>
      <c r="D150" s="743"/>
      <c r="E150" s="743"/>
      <c r="F150" s="743"/>
      <c r="H150" s="81"/>
      <c r="J150" s="81"/>
      <c r="K150" s="88"/>
      <c r="L150" s="81"/>
      <c r="N150" s="227"/>
      <c r="R150" s="79" t="str">
        <f>IF(AND(($L148&gt;0),ISBLANK(B152)),B150,"NOT")</f>
        <v>NOT</v>
      </c>
    </row>
    <row r="151" spans="1:22" ht="3" customHeight="1" x14ac:dyDescent="0.2">
      <c r="B151" s="104"/>
      <c r="C151" s="88"/>
      <c r="D151" s="81"/>
      <c r="F151" s="81"/>
      <c r="H151" s="81"/>
      <c r="J151" s="81"/>
      <c r="K151" s="88"/>
      <c r="L151" s="81"/>
      <c r="N151" s="227"/>
    </row>
    <row r="152" spans="1:22" ht="60" customHeight="1" x14ac:dyDescent="0.2">
      <c r="B152" s="763"/>
      <c r="C152" s="745"/>
      <c r="D152" s="745"/>
      <c r="E152" s="745"/>
      <c r="F152" s="745"/>
      <c r="G152" s="745"/>
      <c r="H152" s="745"/>
      <c r="I152" s="745"/>
      <c r="J152" s="745"/>
      <c r="K152" s="745"/>
      <c r="L152" s="746"/>
      <c r="M152" s="70" t="s">
        <v>19</v>
      </c>
      <c r="N152" s="227"/>
    </row>
    <row r="153" spans="1:22" ht="3.75" customHeight="1" x14ac:dyDescent="0.2">
      <c r="B153" s="104"/>
      <c r="C153" s="88"/>
      <c r="D153" s="81"/>
      <c r="F153" s="81"/>
      <c r="H153" s="81"/>
      <c r="J153" s="81"/>
      <c r="K153" s="88"/>
      <c r="L153" s="81"/>
      <c r="N153" s="227"/>
    </row>
    <row r="154" spans="1:22" ht="25.5" x14ac:dyDescent="0.2">
      <c r="B154" s="244" t="s">
        <v>202</v>
      </c>
      <c r="C154" s="88"/>
      <c r="D154" s="244" t="s">
        <v>580</v>
      </c>
      <c r="F154" s="244" t="s">
        <v>205</v>
      </c>
      <c r="H154" s="244" t="s">
        <v>16</v>
      </c>
      <c r="J154" s="244" t="s">
        <v>15</v>
      </c>
      <c r="K154" s="245"/>
      <c r="L154" s="103" t="s">
        <v>141</v>
      </c>
      <c r="N154" s="81"/>
      <c r="R154" s="255" t="str">
        <f>IF(AND(R155="NOT",R156="NOT",R157="NOT",R158="NOT",R159="NOT",R160="NOT",R150="NOT"),"NOT",D148)</f>
        <v>NOT</v>
      </c>
      <c r="S154" s="255" t="str">
        <f>IF(AND(S155="NOT",S156="NOT",S157="NOT",S158="NOT",S159="NOT",S160="NOT",R150="NOT"),"NOT",D148)</f>
        <v>NOT</v>
      </c>
      <c r="T154" s="255" t="str">
        <f>IF(AND(T155="NOT",T156="NOT",T157="NOT",T158="NOT",T159="NOT",T160="NOT",R150="NOT"),"NOT",D148)</f>
        <v>NOT</v>
      </c>
    </row>
    <row r="155" spans="1:22" x14ac:dyDescent="0.2">
      <c r="B155" s="526"/>
      <c r="C155" s="88"/>
      <c r="D155" s="260"/>
      <c r="E155" s="243"/>
      <c r="F155" s="537"/>
      <c r="G155" s="243"/>
      <c r="H155" s="262"/>
      <c r="I155" s="243"/>
      <c r="J155" s="262"/>
      <c r="K155" s="88"/>
      <c r="L155" s="143">
        <f t="shared" ref="L155:L160" si="28">TRUNC(H155*J155,2)</f>
        <v>0</v>
      </c>
      <c r="N155" s="81"/>
      <c r="R155" s="79" t="str">
        <f t="shared" ref="R155:R160" si="29">IF(AND(($L155&gt;0),ISBLANK(B155)),B155,"NOT")</f>
        <v>NOT</v>
      </c>
      <c r="S155" s="79" t="str">
        <f t="shared" ref="S155:S160" si="30">IF(AND(($L155&gt;0),ISBLANK(D155)),D155,"NOT")</f>
        <v>NOT</v>
      </c>
      <c r="T155" s="79" t="str">
        <f t="shared" ref="T155:T160" si="31">IF(AND(($L155&gt;0),ISBLANK(F155)),F155,"NOT")</f>
        <v>NOT</v>
      </c>
      <c r="V155" s="79" t="str">
        <f t="shared" si="27"/>
        <v/>
      </c>
    </row>
    <row r="156" spans="1:22" x14ac:dyDescent="0.2">
      <c r="B156" s="259"/>
      <c r="C156" s="88"/>
      <c r="D156" s="260"/>
      <c r="E156" s="243"/>
      <c r="F156" s="261"/>
      <c r="G156" s="243"/>
      <c r="H156" s="262"/>
      <c r="I156" s="243"/>
      <c r="J156" s="262"/>
      <c r="K156" s="88"/>
      <c r="L156" s="143">
        <f t="shared" si="28"/>
        <v>0</v>
      </c>
      <c r="N156" s="81"/>
      <c r="R156" s="79" t="str">
        <f t="shared" si="29"/>
        <v>NOT</v>
      </c>
      <c r="S156" s="79" t="str">
        <f t="shared" si="30"/>
        <v>NOT</v>
      </c>
      <c r="T156" s="79" t="str">
        <f t="shared" si="31"/>
        <v>NOT</v>
      </c>
      <c r="V156" s="79" t="str">
        <f t="shared" si="27"/>
        <v/>
      </c>
    </row>
    <row r="157" spans="1:22" x14ac:dyDescent="0.2">
      <c r="B157" s="259"/>
      <c r="C157" s="88"/>
      <c r="D157" s="260"/>
      <c r="E157" s="243"/>
      <c r="F157" s="261"/>
      <c r="G157" s="243"/>
      <c r="H157" s="262"/>
      <c r="I157" s="243"/>
      <c r="J157" s="262"/>
      <c r="K157" s="88"/>
      <c r="L157" s="143">
        <f t="shared" si="28"/>
        <v>0</v>
      </c>
      <c r="N157" s="81"/>
      <c r="R157" s="79" t="str">
        <f t="shared" si="29"/>
        <v>NOT</v>
      </c>
      <c r="S157" s="79" t="str">
        <f t="shared" si="30"/>
        <v>NOT</v>
      </c>
      <c r="T157" s="79" t="str">
        <f t="shared" si="31"/>
        <v>NOT</v>
      </c>
      <c r="V157" s="79" t="str">
        <f t="shared" si="27"/>
        <v/>
      </c>
    </row>
    <row r="158" spans="1:22" x14ac:dyDescent="0.2">
      <c r="B158" s="259"/>
      <c r="C158" s="88"/>
      <c r="D158" s="260"/>
      <c r="E158" s="243"/>
      <c r="F158" s="261"/>
      <c r="G158" s="243"/>
      <c r="H158" s="262"/>
      <c r="I158" s="243"/>
      <c r="J158" s="262"/>
      <c r="K158" s="88"/>
      <c r="L158" s="143">
        <f t="shared" si="28"/>
        <v>0</v>
      </c>
      <c r="N158" s="81"/>
      <c r="R158" s="79" t="str">
        <f t="shared" si="29"/>
        <v>NOT</v>
      </c>
      <c r="S158" s="79" t="str">
        <f t="shared" si="30"/>
        <v>NOT</v>
      </c>
      <c r="T158" s="79" t="str">
        <f t="shared" si="31"/>
        <v>NOT</v>
      </c>
      <c r="V158" s="79" t="str">
        <f t="shared" si="27"/>
        <v/>
      </c>
    </row>
    <row r="159" spans="1:22" x14ac:dyDescent="0.2">
      <c r="B159" s="259"/>
      <c r="C159" s="88"/>
      <c r="D159" s="260"/>
      <c r="E159" s="243"/>
      <c r="F159" s="261"/>
      <c r="G159" s="243"/>
      <c r="H159" s="262"/>
      <c r="I159" s="243"/>
      <c r="J159" s="262"/>
      <c r="K159" s="88"/>
      <c r="L159" s="143">
        <f t="shared" si="28"/>
        <v>0</v>
      </c>
      <c r="N159" s="81"/>
      <c r="R159" s="79" t="str">
        <f t="shared" si="29"/>
        <v>NOT</v>
      </c>
      <c r="S159" s="79" t="str">
        <f t="shared" si="30"/>
        <v>NOT</v>
      </c>
      <c r="T159" s="79" t="str">
        <f t="shared" si="31"/>
        <v>NOT</v>
      </c>
      <c r="V159" s="79" t="str">
        <f t="shared" si="27"/>
        <v/>
      </c>
    </row>
    <row r="160" spans="1:22" x14ac:dyDescent="0.2">
      <c r="B160" s="259"/>
      <c r="C160" s="88"/>
      <c r="D160" s="260"/>
      <c r="E160" s="243"/>
      <c r="F160" s="261"/>
      <c r="G160" s="243"/>
      <c r="H160" s="262"/>
      <c r="I160" s="243"/>
      <c r="J160" s="262"/>
      <c r="K160" s="88"/>
      <c r="L160" s="143">
        <f t="shared" si="28"/>
        <v>0</v>
      </c>
      <c r="N160" s="81"/>
      <c r="R160" s="79" t="str">
        <f t="shared" si="29"/>
        <v>NOT</v>
      </c>
      <c r="S160" s="79" t="str">
        <f t="shared" si="30"/>
        <v>NOT</v>
      </c>
      <c r="T160" s="79" t="str">
        <f t="shared" si="31"/>
        <v>NOT</v>
      </c>
      <c r="V160" s="79" t="str">
        <f t="shared" si="27"/>
        <v/>
      </c>
    </row>
    <row r="161" spans="1:22" s="76" customFormat="1" ht="12.75" customHeight="1" x14ac:dyDescent="0.2">
      <c r="A161" s="87"/>
      <c r="B161" s="88"/>
      <c r="C161" s="88"/>
      <c r="D161" s="70"/>
      <c r="E161" s="70"/>
      <c r="F161" s="70"/>
      <c r="G161" s="70"/>
      <c r="H161" s="70"/>
      <c r="I161" s="70"/>
      <c r="J161" s="70"/>
      <c r="K161" s="88"/>
      <c r="L161" s="70"/>
      <c r="M161" s="70"/>
      <c r="N161" s="70"/>
      <c r="O161" s="89"/>
      <c r="V161" s="79"/>
    </row>
    <row r="162" spans="1:22" ht="28.5" customHeight="1" x14ac:dyDescent="0.2">
      <c r="A162" s="276"/>
      <c r="B162" s="278" t="s">
        <v>294</v>
      </c>
      <c r="C162" s="277"/>
      <c r="D162" s="747" t="s">
        <v>166</v>
      </c>
      <c r="E162" s="748"/>
      <c r="F162" s="748"/>
      <c r="G162" s="748"/>
      <c r="H162" s="748"/>
      <c r="I162" s="279"/>
      <c r="J162" s="280" t="s">
        <v>18</v>
      </c>
      <c r="K162" s="88"/>
      <c r="L162" s="156">
        <f>SUM(L169:L172)</f>
        <v>3300</v>
      </c>
      <c r="M162" s="246"/>
      <c r="N162" s="147">
        <f>IF(L162=0,0%,L162/L$8)</f>
        <v>1.1817156362464415E-2</v>
      </c>
      <c r="O162" s="495">
        <f>IF(LEN(R162)&gt;3,1,0)</f>
        <v>0</v>
      </c>
      <c r="R162" s="79" t="str">
        <f>IF(AND(R168="NOT",S168="NOT",T168="NOT"),"NOT",D162)</f>
        <v>NOT</v>
      </c>
    </row>
    <row r="163" spans="1:22" s="76" customFormat="1" ht="3" customHeight="1" x14ac:dyDescent="0.2">
      <c r="A163" s="87"/>
      <c r="B163" s="88"/>
      <c r="C163" s="88"/>
      <c r="D163" s="70"/>
      <c r="E163" s="70"/>
      <c r="F163" s="70"/>
      <c r="G163" s="70"/>
      <c r="H163" s="70"/>
      <c r="I163" s="70"/>
      <c r="J163" s="70"/>
      <c r="K163" s="88"/>
      <c r="L163" s="70"/>
      <c r="M163" s="70"/>
      <c r="N163" s="70"/>
      <c r="O163" s="89"/>
      <c r="V163" s="79"/>
    </row>
    <row r="164" spans="1:22" x14ac:dyDescent="0.2">
      <c r="B164" s="742" t="s">
        <v>197</v>
      </c>
      <c r="C164" s="743"/>
      <c r="D164" s="743"/>
      <c r="E164" s="743"/>
      <c r="F164" s="743"/>
      <c r="H164" s="81"/>
      <c r="J164" s="81"/>
      <c r="K164" s="88"/>
      <c r="L164" s="81"/>
      <c r="N164" s="227"/>
      <c r="R164" s="79" t="str">
        <f>IF(AND(($L162&gt;0),ISBLANK(B166)),B164,"NOT")</f>
        <v>NOT</v>
      </c>
    </row>
    <row r="165" spans="1:22" ht="3" customHeight="1" x14ac:dyDescent="0.2">
      <c r="B165" s="104"/>
      <c r="C165" s="88"/>
      <c r="D165" s="81"/>
      <c r="F165" s="81"/>
      <c r="H165" s="81"/>
      <c r="J165" s="81"/>
      <c r="K165" s="88"/>
      <c r="L165" s="81"/>
      <c r="N165" s="227"/>
    </row>
    <row r="166" spans="1:22" ht="50.25" customHeight="1" x14ac:dyDescent="0.2">
      <c r="B166" s="763" t="s">
        <v>798</v>
      </c>
      <c r="C166" s="745"/>
      <c r="D166" s="745"/>
      <c r="E166" s="745"/>
      <c r="F166" s="745"/>
      <c r="G166" s="745"/>
      <c r="H166" s="745"/>
      <c r="I166" s="745"/>
      <c r="J166" s="745"/>
      <c r="K166" s="745"/>
      <c r="L166" s="746"/>
      <c r="M166" s="70" t="s">
        <v>19</v>
      </c>
      <c r="N166" s="227"/>
    </row>
    <row r="167" spans="1:22" ht="3.75" customHeight="1" x14ac:dyDescent="0.2">
      <c r="B167" s="104"/>
      <c r="C167" s="88"/>
      <c r="D167" s="81"/>
      <c r="F167" s="81"/>
      <c r="H167" s="81"/>
      <c r="J167" s="81"/>
      <c r="K167" s="88"/>
      <c r="L167" s="81"/>
      <c r="N167" s="227"/>
    </row>
    <row r="168" spans="1:22" ht="12.75" customHeight="1" x14ac:dyDescent="0.2">
      <c r="B168" s="244" t="s">
        <v>17</v>
      </c>
      <c r="C168" s="88"/>
      <c r="D168" s="244" t="s">
        <v>580</v>
      </c>
      <c r="F168" s="244" t="s">
        <v>205</v>
      </c>
      <c r="H168" s="244" t="s">
        <v>16</v>
      </c>
      <c r="J168" s="244" t="s">
        <v>15</v>
      </c>
      <c r="K168" s="245"/>
      <c r="L168" s="103" t="s">
        <v>141</v>
      </c>
      <c r="N168" s="81"/>
      <c r="R168" s="255" t="str">
        <f>IF(AND(R169="NOT",R170="NOT",R171="NOT",R172="NOT",R164="NOT"),"NOT",D162)</f>
        <v>NOT</v>
      </c>
      <c r="S168" s="255" t="str">
        <f>IF(AND(S169="NOT",S170="NOT",S171="NOT",S172="NOT",R164="NOT"),"NOT",D162)</f>
        <v>NOT</v>
      </c>
      <c r="T168" s="255" t="str">
        <f>IF(AND(T169="NOT",T170="NOT",T171="NOT",T172="NOT",R164="NOT"),"NOT",D162)</f>
        <v>NOT</v>
      </c>
    </row>
    <row r="169" spans="1:22" ht="38.25" x14ac:dyDescent="0.2">
      <c r="B169" s="512" t="s">
        <v>799</v>
      </c>
      <c r="C169" s="88"/>
      <c r="D169" s="260" t="s">
        <v>897</v>
      </c>
      <c r="E169" s="243"/>
      <c r="F169" s="513" t="s">
        <v>764</v>
      </c>
      <c r="G169" s="243"/>
      <c r="H169" s="262">
        <v>1</v>
      </c>
      <c r="I169" s="243"/>
      <c r="J169" s="550">
        <v>3300</v>
      </c>
      <c r="K169" s="88"/>
      <c r="L169" s="143">
        <f>TRUNC(H169*J169,2)</f>
        <v>3300</v>
      </c>
      <c r="N169" s="81"/>
      <c r="R169" s="79" t="str">
        <f>IF(AND(($L169&gt;0),ISBLANK(B169)),B169,"NOT")</f>
        <v>NOT</v>
      </c>
      <c r="S169" s="79" t="str">
        <f>IF(AND(($L169&gt;0),ISBLANK(D169)),D169,"NOT")</f>
        <v>NOT</v>
      </c>
      <c r="T169" s="79" t="str">
        <f>IF(AND(($L169&gt;0),ISBLANK(F169)),F169,"NOT")</f>
        <v>NOT</v>
      </c>
      <c r="V169" s="79" t="str">
        <f>LEFT(D169,3)</f>
        <v>13.</v>
      </c>
    </row>
    <row r="170" spans="1:22" x14ac:dyDescent="0.2">
      <c r="B170" s="259"/>
      <c r="C170" s="88"/>
      <c r="D170" s="260"/>
      <c r="E170" s="243"/>
      <c r="F170" s="261"/>
      <c r="G170" s="243"/>
      <c r="H170" s="262"/>
      <c r="I170" s="243"/>
      <c r="J170" s="262"/>
      <c r="K170" s="88"/>
      <c r="L170" s="143">
        <f>TRUNC(H170*J170,2)</f>
        <v>0</v>
      </c>
      <c r="N170" s="81"/>
      <c r="R170" s="79" t="str">
        <f>IF(AND(($L170&gt;0),ISBLANK(B170)),B170,"NOT")</f>
        <v>NOT</v>
      </c>
      <c r="S170" s="79" t="str">
        <f>IF(AND(($L170&gt;0),ISBLANK(D170)),D170,"NOT")</f>
        <v>NOT</v>
      </c>
      <c r="T170" s="79" t="str">
        <f>IF(AND(($L170&gt;0),ISBLANK(F170)),F170,"NOT")</f>
        <v>NOT</v>
      </c>
      <c r="V170" s="79" t="str">
        <f>LEFT(D170,3)</f>
        <v/>
      </c>
    </row>
    <row r="171" spans="1:22" x14ac:dyDescent="0.2">
      <c r="B171" s="259"/>
      <c r="C171" s="88"/>
      <c r="D171" s="260"/>
      <c r="E171" s="243"/>
      <c r="F171" s="261"/>
      <c r="G171" s="243"/>
      <c r="H171" s="262"/>
      <c r="I171" s="243"/>
      <c r="J171" s="262"/>
      <c r="K171" s="88"/>
      <c r="L171" s="143">
        <f>TRUNC(H171*J171,2)</f>
        <v>0</v>
      </c>
      <c r="N171" s="81"/>
      <c r="R171" s="79" t="str">
        <f>IF(AND(($L171&gt;0),ISBLANK(B171)),B171,"NOT")</f>
        <v>NOT</v>
      </c>
      <c r="S171" s="79" t="str">
        <f>IF(AND(($L171&gt;0),ISBLANK(D171)),D171,"NOT")</f>
        <v>NOT</v>
      </c>
      <c r="T171" s="79" t="str">
        <f>IF(AND(($L171&gt;0),ISBLANK(F171)),F171,"NOT")</f>
        <v>NOT</v>
      </c>
      <c r="V171" s="79" t="str">
        <f>LEFT(D171,3)</f>
        <v/>
      </c>
    </row>
    <row r="172" spans="1:22" x14ac:dyDescent="0.2">
      <c r="B172" s="259"/>
      <c r="C172" s="88"/>
      <c r="D172" s="260"/>
      <c r="E172" s="243"/>
      <c r="F172" s="261"/>
      <c r="G172" s="243"/>
      <c r="H172" s="262"/>
      <c r="I172" s="243"/>
      <c r="J172" s="262"/>
      <c r="K172" s="88"/>
      <c r="L172" s="143">
        <f>TRUNC(H172*J172,2)</f>
        <v>0</v>
      </c>
      <c r="N172" s="81"/>
      <c r="R172" s="79" t="str">
        <f>IF(AND(($L172&gt;0),ISBLANK(B172)),B172,"NOT")</f>
        <v>NOT</v>
      </c>
      <c r="S172" s="79" t="str">
        <f>IF(AND(($L172&gt;0),ISBLANK(D172)),D172,"NOT")</f>
        <v>NOT</v>
      </c>
      <c r="T172" s="79" t="str">
        <f>IF(AND(($L172&gt;0),ISBLANK(F172)),F172,"NOT")</f>
        <v>NOT</v>
      </c>
      <c r="V172" s="79" t="str">
        <f>LEFT(D172,3)</f>
        <v/>
      </c>
    </row>
    <row r="173" spans="1:22" s="76" customFormat="1" ht="12.75" customHeight="1" x14ac:dyDescent="0.2">
      <c r="A173" s="87"/>
      <c r="B173" s="88"/>
      <c r="C173" s="88"/>
      <c r="D173" s="70"/>
      <c r="E173" s="70"/>
      <c r="F173" s="70"/>
      <c r="G173" s="70"/>
      <c r="H173" s="70"/>
      <c r="I173" s="70"/>
      <c r="J173" s="70"/>
      <c r="K173" s="88"/>
      <c r="L173" s="70"/>
      <c r="M173" s="70"/>
      <c r="N173" s="70"/>
      <c r="O173" s="89"/>
      <c r="V173" s="79"/>
    </row>
    <row r="174" spans="1:22" ht="25.5" x14ac:dyDescent="0.2">
      <c r="A174" s="276"/>
      <c r="B174" s="278" t="s">
        <v>296</v>
      </c>
      <c r="C174" s="277"/>
      <c r="D174" s="747" t="s">
        <v>166</v>
      </c>
      <c r="E174" s="748"/>
      <c r="F174" s="748"/>
      <c r="G174" s="748"/>
      <c r="H174" s="748"/>
      <c r="I174" s="279"/>
      <c r="J174" s="280" t="s">
        <v>18</v>
      </c>
      <c r="K174" s="88"/>
      <c r="L174" s="156">
        <f>SUM(L181:L190)</f>
        <v>10000</v>
      </c>
      <c r="M174" s="246"/>
      <c r="N174" s="147">
        <f>IF(L174=0,0%,L174/L$8)</f>
        <v>3.5809564734740652E-2</v>
      </c>
      <c r="O174" s="495">
        <f>IF(LEN(R174)&gt;3,1,0)</f>
        <v>0</v>
      </c>
      <c r="R174" s="79" t="str">
        <f>IF(AND(R180="NOT",S180="NOT",T180="NOT"),"NOT",D174)</f>
        <v>NOT</v>
      </c>
    </row>
    <row r="175" spans="1:22" s="76" customFormat="1" ht="3" customHeight="1" x14ac:dyDescent="0.2">
      <c r="A175" s="87"/>
      <c r="B175" s="88"/>
      <c r="C175" s="88"/>
      <c r="D175" s="70"/>
      <c r="E175" s="70"/>
      <c r="F175" s="70"/>
      <c r="G175" s="70"/>
      <c r="H175" s="70"/>
      <c r="I175" s="70"/>
      <c r="J175" s="70"/>
      <c r="K175" s="88"/>
      <c r="L175" s="70"/>
      <c r="M175" s="70"/>
      <c r="N175" s="70"/>
      <c r="O175" s="89"/>
      <c r="V175" s="79"/>
    </row>
    <row r="176" spans="1:22" ht="27.75" customHeight="1" x14ac:dyDescent="0.2">
      <c r="B176" s="749" t="s">
        <v>38</v>
      </c>
      <c r="C176" s="750"/>
      <c r="D176" s="750"/>
      <c r="E176" s="750"/>
      <c r="F176" s="750"/>
      <c r="H176" s="81"/>
      <c r="J176" s="81"/>
      <c r="K176" s="88"/>
      <c r="L176" s="81"/>
      <c r="N176" s="227"/>
      <c r="R176" s="79" t="str">
        <f>IF(AND(($L174&gt;0),ISBLANK(B178)),B176,"NOT")</f>
        <v>NOT</v>
      </c>
    </row>
    <row r="177" spans="1:22" ht="3" customHeight="1" x14ac:dyDescent="0.2">
      <c r="B177" s="104"/>
      <c r="C177" s="88"/>
      <c r="D177" s="81"/>
      <c r="F177" s="81"/>
      <c r="H177" s="81"/>
      <c r="J177" s="81"/>
      <c r="K177" s="88"/>
      <c r="L177" s="81"/>
      <c r="N177" s="227"/>
    </row>
    <row r="178" spans="1:22" ht="81" customHeight="1" x14ac:dyDescent="0.2">
      <c r="B178" s="763" t="s">
        <v>907</v>
      </c>
      <c r="C178" s="745"/>
      <c r="D178" s="745"/>
      <c r="E178" s="745"/>
      <c r="F178" s="745"/>
      <c r="G178" s="745"/>
      <c r="H178" s="745"/>
      <c r="I178" s="745"/>
      <c r="J178" s="745"/>
      <c r="K178" s="745"/>
      <c r="L178" s="746"/>
      <c r="M178" s="70" t="s">
        <v>19</v>
      </c>
      <c r="N178" s="227"/>
    </row>
    <row r="179" spans="1:22" ht="3.75" customHeight="1" x14ac:dyDescent="0.2">
      <c r="B179" s="104"/>
      <c r="C179" s="88"/>
      <c r="D179" s="81"/>
      <c r="F179" s="81"/>
      <c r="H179" s="81"/>
      <c r="J179" s="81"/>
      <c r="K179" s="88"/>
      <c r="L179" s="81"/>
      <c r="N179" s="227"/>
    </row>
    <row r="180" spans="1:22" ht="38.25" x14ac:dyDescent="0.2">
      <c r="B180" s="244" t="s">
        <v>23</v>
      </c>
      <c r="C180" s="88"/>
      <c r="D180" s="244" t="s">
        <v>580</v>
      </c>
      <c r="F180" s="244" t="s">
        <v>205</v>
      </c>
      <c r="H180" s="244" t="s">
        <v>16</v>
      </c>
      <c r="J180" s="244" t="s">
        <v>15</v>
      </c>
      <c r="K180" s="245"/>
      <c r="L180" s="103" t="s">
        <v>141</v>
      </c>
      <c r="N180" s="81"/>
      <c r="R180" s="255" t="str">
        <f>IF(AND(R181="NOT",R182="NOT",R183="NOT",R184="NOT",R185="NOT",R186="NOT",R187="NOT",R188="NOT",R189="NOT",R190="NOT",R176="NOT"),"NOT",D174)</f>
        <v>NOT</v>
      </c>
      <c r="S180" s="255" t="str">
        <f>IF(AND(S181="NOT",S182="NOT",S183="NOT",S184="NOT",S185="NOT",S186="NOT",S187="NOT",S188="NOT",S189="NOT",S190="NOT",R176="NOT"),"NOT",D174)</f>
        <v>NOT</v>
      </c>
      <c r="T180" s="255" t="str">
        <f>IF(AND(T181="NOT",T182="NOT",T183="NOT",T184="NOT",T185="NOT",T186="NOT",T187="NOT",T188="NOT",T189="NOT",T190="NOT",R176="NOT"),"NOT",D174)</f>
        <v>NOT</v>
      </c>
    </row>
    <row r="181" spans="1:22" ht="38.25" x14ac:dyDescent="0.2">
      <c r="B181" s="512" t="s">
        <v>904</v>
      </c>
      <c r="C181" s="88"/>
      <c r="D181" s="260" t="s">
        <v>735</v>
      </c>
      <c r="E181" s="243"/>
      <c r="F181" s="513" t="s">
        <v>764</v>
      </c>
      <c r="G181" s="243"/>
      <c r="H181" s="262">
        <v>1</v>
      </c>
      <c r="I181" s="243"/>
      <c r="J181" s="262">
        <v>3000</v>
      </c>
      <c r="K181" s="88"/>
      <c r="L181" s="143">
        <f t="shared" ref="L181:L190" si="32">TRUNC(H181*J181,2)</f>
        <v>3000</v>
      </c>
      <c r="N181" s="81"/>
      <c r="R181" s="79" t="str">
        <f t="shared" ref="R181:R190" si="33">IF(AND(($L181&gt;0),ISBLANK(B181)),B181,"NOT")</f>
        <v>NOT</v>
      </c>
      <c r="S181" s="79" t="str">
        <f t="shared" ref="S181:S190" si="34">IF(AND(($L181&gt;0),ISBLANK(D181)),D181,"NOT")</f>
        <v>NOT</v>
      </c>
      <c r="T181" s="79" t="str">
        <f t="shared" ref="T181:T190" si="35">IF(AND(($L181&gt;0),ISBLANK(F181)),F181,"NOT")</f>
        <v>NOT</v>
      </c>
      <c r="V181" s="79" t="str">
        <f t="shared" ref="V181:V190" si="36">LEFT(D181,3)</f>
        <v xml:space="preserve">2. </v>
      </c>
    </row>
    <row r="182" spans="1:22" x14ac:dyDescent="0.2">
      <c r="B182" s="520" t="s">
        <v>800</v>
      </c>
      <c r="C182" s="88"/>
      <c r="D182" s="260" t="s">
        <v>735</v>
      </c>
      <c r="E182" s="243"/>
      <c r="F182" s="513" t="s">
        <v>801</v>
      </c>
      <c r="G182" s="243"/>
      <c r="H182" s="262">
        <v>7</v>
      </c>
      <c r="I182" s="243"/>
      <c r="J182" s="262">
        <v>1000</v>
      </c>
      <c r="K182" s="88"/>
      <c r="L182" s="143">
        <f t="shared" si="32"/>
        <v>7000</v>
      </c>
      <c r="N182" s="81"/>
      <c r="R182" s="79" t="str">
        <f t="shared" si="33"/>
        <v>NOT</v>
      </c>
      <c r="S182" s="79" t="str">
        <f t="shared" si="34"/>
        <v>NOT</v>
      </c>
      <c r="T182" s="79" t="str">
        <f t="shared" si="35"/>
        <v>NOT</v>
      </c>
      <c r="V182" s="79" t="str">
        <f t="shared" si="36"/>
        <v xml:space="preserve">2. </v>
      </c>
    </row>
    <row r="183" spans="1:22" x14ac:dyDescent="0.2">
      <c r="B183" s="520"/>
      <c r="C183" s="88"/>
      <c r="D183" s="260"/>
      <c r="E183" s="243"/>
      <c r="F183" s="513"/>
      <c r="G183" s="243"/>
      <c r="H183" s="262"/>
      <c r="I183" s="243"/>
      <c r="J183" s="262"/>
      <c r="K183" s="88"/>
      <c r="L183" s="143">
        <f t="shared" si="32"/>
        <v>0</v>
      </c>
      <c r="N183" s="81"/>
      <c r="R183" s="79" t="str">
        <f t="shared" si="33"/>
        <v>NOT</v>
      </c>
      <c r="S183" s="79" t="str">
        <f t="shared" si="34"/>
        <v>NOT</v>
      </c>
      <c r="T183" s="79" t="str">
        <f t="shared" si="35"/>
        <v>NOT</v>
      </c>
      <c r="V183" s="79" t="str">
        <f t="shared" si="36"/>
        <v/>
      </c>
    </row>
    <row r="184" spans="1:22" x14ac:dyDescent="0.2">
      <c r="B184" s="520"/>
      <c r="C184" s="88"/>
      <c r="D184" s="260"/>
      <c r="E184" s="243"/>
      <c r="F184" s="513"/>
      <c r="G184" s="243"/>
      <c r="H184" s="262"/>
      <c r="I184" s="243"/>
      <c r="J184" s="262"/>
      <c r="K184" s="88"/>
      <c r="L184" s="143">
        <f t="shared" si="32"/>
        <v>0</v>
      </c>
      <c r="N184" s="81"/>
      <c r="R184" s="79" t="str">
        <f t="shared" si="33"/>
        <v>NOT</v>
      </c>
      <c r="S184" s="79" t="str">
        <f t="shared" si="34"/>
        <v>NOT</v>
      </c>
      <c r="T184" s="79" t="str">
        <f t="shared" si="35"/>
        <v>NOT</v>
      </c>
      <c r="V184" s="79" t="str">
        <f t="shared" si="36"/>
        <v/>
      </c>
    </row>
    <row r="185" spans="1:22" x14ac:dyDescent="0.2">
      <c r="B185" s="520"/>
      <c r="C185" s="88"/>
      <c r="D185" s="260"/>
      <c r="E185" s="243"/>
      <c r="F185" s="513"/>
      <c r="G185" s="243"/>
      <c r="H185" s="262"/>
      <c r="I185" s="243"/>
      <c r="J185" s="262"/>
      <c r="K185" s="88"/>
      <c r="L185" s="143">
        <f t="shared" si="32"/>
        <v>0</v>
      </c>
      <c r="N185" s="81"/>
      <c r="R185" s="79" t="str">
        <f t="shared" si="33"/>
        <v>NOT</v>
      </c>
      <c r="S185" s="79" t="str">
        <f t="shared" si="34"/>
        <v>NOT</v>
      </c>
      <c r="T185" s="79" t="str">
        <f t="shared" si="35"/>
        <v>NOT</v>
      </c>
      <c r="V185" s="79" t="str">
        <f t="shared" si="36"/>
        <v/>
      </c>
    </row>
    <row r="186" spans="1:22" x14ac:dyDescent="0.2">
      <c r="B186" s="259"/>
      <c r="C186" s="88"/>
      <c r="D186" s="260"/>
      <c r="E186" s="243"/>
      <c r="F186" s="261"/>
      <c r="G186" s="243"/>
      <c r="H186" s="262"/>
      <c r="I186" s="243"/>
      <c r="J186" s="262"/>
      <c r="K186" s="88"/>
      <c r="L186" s="143">
        <f t="shared" si="32"/>
        <v>0</v>
      </c>
      <c r="N186" s="81"/>
      <c r="R186" s="79" t="str">
        <f t="shared" si="33"/>
        <v>NOT</v>
      </c>
      <c r="S186" s="79" t="str">
        <f t="shared" si="34"/>
        <v>NOT</v>
      </c>
      <c r="T186" s="79" t="str">
        <f t="shared" si="35"/>
        <v>NOT</v>
      </c>
      <c r="V186" s="79" t="str">
        <f t="shared" si="36"/>
        <v/>
      </c>
    </row>
    <row r="187" spans="1:22" x14ac:dyDescent="0.2">
      <c r="B187" s="259"/>
      <c r="C187" s="88"/>
      <c r="D187" s="260"/>
      <c r="E187" s="243"/>
      <c r="F187" s="261"/>
      <c r="G187" s="243"/>
      <c r="H187" s="262"/>
      <c r="I187" s="243"/>
      <c r="J187" s="262"/>
      <c r="K187" s="88"/>
      <c r="L187" s="143">
        <f t="shared" si="32"/>
        <v>0</v>
      </c>
      <c r="N187" s="81"/>
      <c r="R187" s="79" t="str">
        <f t="shared" si="33"/>
        <v>NOT</v>
      </c>
      <c r="S187" s="79" t="str">
        <f t="shared" si="34"/>
        <v>NOT</v>
      </c>
      <c r="T187" s="79" t="str">
        <f t="shared" si="35"/>
        <v>NOT</v>
      </c>
      <c r="V187" s="79" t="str">
        <f t="shared" si="36"/>
        <v/>
      </c>
    </row>
    <row r="188" spans="1:22" x14ac:dyDescent="0.2">
      <c r="B188" s="259"/>
      <c r="C188" s="88"/>
      <c r="D188" s="260"/>
      <c r="E188" s="243"/>
      <c r="F188" s="261"/>
      <c r="G188" s="243"/>
      <c r="H188" s="262"/>
      <c r="I188" s="243"/>
      <c r="J188" s="262"/>
      <c r="K188" s="88"/>
      <c r="L188" s="143">
        <f t="shared" si="32"/>
        <v>0</v>
      </c>
      <c r="N188" s="81"/>
      <c r="R188" s="79" t="str">
        <f t="shared" si="33"/>
        <v>NOT</v>
      </c>
      <c r="S188" s="79" t="str">
        <f t="shared" si="34"/>
        <v>NOT</v>
      </c>
      <c r="T188" s="79" t="str">
        <f t="shared" si="35"/>
        <v>NOT</v>
      </c>
      <c r="V188" s="79" t="str">
        <f t="shared" si="36"/>
        <v/>
      </c>
    </row>
    <row r="189" spans="1:22" x14ac:dyDescent="0.2">
      <c r="B189" s="259"/>
      <c r="C189" s="88"/>
      <c r="D189" s="260"/>
      <c r="E189" s="243"/>
      <c r="F189" s="261"/>
      <c r="G189" s="243"/>
      <c r="H189" s="262"/>
      <c r="I189" s="243"/>
      <c r="J189" s="262"/>
      <c r="K189" s="88"/>
      <c r="L189" s="143">
        <f t="shared" si="32"/>
        <v>0</v>
      </c>
      <c r="N189" s="81"/>
      <c r="R189" s="79" t="str">
        <f t="shared" si="33"/>
        <v>NOT</v>
      </c>
      <c r="S189" s="79" t="str">
        <f t="shared" si="34"/>
        <v>NOT</v>
      </c>
      <c r="T189" s="79" t="str">
        <f t="shared" si="35"/>
        <v>NOT</v>
      </c>
      <c r="V189" s="79" t="str">
        <f t="shared" si="36"/>
        <v/>
      </c>
    </row>
    <row r="190" spans="1:22" x14ac:dyDescent="0.2">
      <c r="B190" s="259"/>
      <c r="C190" s="88"/>
      <c r="D190" s="260"/>
      <c r="E190" s="243"/>
      <c r="F190" s="261"/>
      <c r="G190" s="243"/>
      <c r="H190" s="262"/>
      <c r="I190" s="243"/>
      <c r="J190" s="262"/>
      <c r="K190" s="88"/>
      <c r="L190" s="143">
        <f t="shared" si="32"/>
        <v>0</v>
      </c>
      <c r="N190" s="81"/>
      <c r="R190" s="79" t="str">
        <f t="shared" si="33"/>
        <v>NOT</v>
      </c>
      <c r="S190" s="79" t="str">
        <f t="shared" si="34"/>
        <v>NOT</v>
      </c>
      <c r="T190" s="79" t="str">
        <f t="shared" si="35"/>
        <v>NOT</v>
      </c>
      <c r="V190" s="79" t="str">
        <f t="shared" si="36"/>
        <v/>
      </c>
    </row>
    <row r="191" spans="1:22" x14ac:dyDescent="0.2">
      <c r="B191" s="104"/>
      <c r="C191" s="88"/>
      <c r="D191" s="81"/>
      <c r="F191" s="81"/>
      <c r="H191" s="81"/>
      <c r="J191" s="81"/>
      <c r="K191" s="88"/>
      <c r="L191" s="81"/>
      <c r="N191" s="227"/>
    </row>
    <row r="192" spans="1:22" ht="13.5" customHeight="1" x14ac:dyDescent="0.2">
      <c r="A192" s="276"/>
      <c r="B192" s="278" t="s">
        <v>297</v>
      </c>
      <c r="C192" s="277"/>
      <c r="D192" s="747" t="s">
        <v>166</v>
      </c>
      <c r="E192" s="748"/>
      <c r="F192" s="748"/>
      <c r="G192" s="748"/>
      <c r="H192" s="748"/>
      <c r="I192" s="279"/>
      <c r="J192" s="280" t="s">
        <v>18</v>
      </c>
      <c r="K192" s="88"/>
      <c r="L192" s="156">
        <f>SUM(L199:L203)</f>
        <v>22500</v>
      </c>
      <c r="M192" s="246"/>
      <c r="N192" s="147">
        <f>IF(L192=0,0%,L192/L$8)</f>
        <v>8.0571520653166459E-2</v>
      </c>
      <c r="O192" s="495">
        <f>IF(LEN(R192)&gt;3,1,0)</f>
        <v>0</v>
      </c>
      <c r="R192" s="79" t="str">
        <f>IF(AND(R198="NOT",S198="NOT",T198="NOT"),"NOT",D192)</f>
        <v>NOT</v>
      </c>
    </row>
    <row r="193" spans="1:22" s="76" customFormat="1" ht="3" customHeight="1" x14ac:dyDescent="0.2">
      <c r="A193" s="87"/>
      <c r="B193" s="88"/>
      <c r="C193" s="88"/>
      <c r="D193" s="70"/>
      <c r="E193" s="70"/>
      <c r="F193" s="70"/>
      <c r="G193" s="70"/>
      <c r="H193" s="70"/>
      <c r="I193" s="70"/>
      <c r="J193" s="70"/>
      <c r="K193" s="88"/>
      <c r="L193" s="70"/>
      <c r="M193" s="70"/>
      <c r="N193" s="70"/>
      <c r="O193" s="89"/>
      <c r="V193" s="79"/>
    </row>
    <row r="194" spans="1:22" ht="25.5" customHeight="1" x14ac:dyDescent="0.2">
      <c r="B194" s="749" t="s">
        <v>646</v>
      </c>
      <c r="C194" s="750"/>
      <c r="D194" s="750"/>
      <c r="E194" s="750"/>
      <c r="F194" s="750"/>
      <c r="H194" s="81"/>
      <c r="J194" s="81"/>
      <c r="K194" s="88"/>
      <c r="L194" s="81"/>
      <c r="N194" s="227"/>
      <c r="R194" s="79" t="str">
        <f>IF(AND(($L192&gt;0),ISBLANK(B196)),B194,"NOT")</f>
        <v>NOT</v>
      </c>
    </row>
    <row r="195" spans="1:22" ht="3" customHeight="1" x14ac:dyDescent="0.2">
      <c r="B195" s="104"/>
      <c r="C195" s="88"/>
      <c r="D195" s="81"/>
      <c r="F195" s="81"/>
      <c r="H195" s="81"/>
      <c r="J195" s="81"/>
      <c r="K195" s="88"/>
      <c r="L195" s="81"/>
      <c r="N195" s="227"/>
    </row>
    <row r="196" spans="1:22" ht="60.75" customHeight="1" x14ac:dyDescent="0.2">
      <c r="B196" s="763" t="s">
        <v>802</v>
      </c>
      <c r="C196" s="745"/>
      <c r="D196" s="745"/>
      <c r="E196" s="745"/>
      <c r="F196" s="745"/>
      <c r="G196" s="745"/>
      <c r="H196" s="745"/>
      <c r="I196" s="745"/>
      <c r="J196" s="745"/>
      <c r="K196" s="745"/>
      <c r="L196" s="746"/>
      <c r="M196" s="70" t="s">
        <v>19</v>
      </c>
      <c r="N196" s="227"/>
    </row>
    <row r="197" spans="1:22" ht="3.75" customHeight="1" x14ac:dyDescent="0.2">
      <c r="B197" s="104"/>
      <c r="C197" s="88"/>
      <c r="D197" s="81"/>
      <c r="F197" s="81"/>
      <c r="H197" s="81"/>
      <c r="J197" s="81"/>
      <c r="K197" s="88"/>
      <c r="L197" s="81"/>
      <c r="N197" s="227"/>
    </row>
    <row r="198" spans="1:22" ht="12.75" customHeight="1" x14ac:dyDescent="0.2">
      <c r="B198" s="244" t="s">
        <v>17</v>
      </c>
      <c r="C198" s="88"/>
      <c r="D198" s="244" t="s">
        <v>580</v>
      </c>
      <c r="F198" s="244" t="s">
        <v>205</v>
      </c>
      <c r="H198" s="244" t="s">
        <v>16</v>
      </c>
      <c r="J198" s="244" t="s">
        <v>15</v>
      </c>
      <c r="K198" s="245"/>
      <c r="L198" s="103" t="s">
        <v>141</v>
      </c>
      <c r="N198" s="81"/>
      <c r="R198" s="255" t="str">
        <f>IF(AND(R199="NOT",R200="NOT",R201="NOT",R202="NOT",R203="NOT",R194="NOT"),"NOT",D192)</f>
        <v>NOT</v>
      </c>
      <c r="S198" s="255" t="str">
        <f>IF(AND(S199="NOT",S200="NOT",S201="NOT",S202="NOT",S203="NOT",R194="NOT"),"NOT",D192)</f>
        <v>NOT</v>
      </c>
      <c r="T198" s="255" t="str">
        <f>IF(AND(T199="NOT",T200="NOT",T201="NOT",T202="NOT",T203="NOT",R194="NOT"),"NOT",D192)</f>
        <v>NOT</v>
      </c>
    </row>
    <row r="199" spans="1:22" ht="25.5" x14ac:dyDescent="0.2">
      <c r="B199" s="512" t="s">
        <v>803</v>
      </c>
      <c r="C199" s="88"/>
      <c r="D199" s="260" t="s">
        <v>910</v>
      </c>
      <c r="E199" s="243"/>
      <c r="F199" s="513" t="s">
        <v>764</v>
      </c>
      <c r="G199" s="243"/>
      <c r="H199" s="262">
        <v>1</v>
      </c>
      <c r="I199" s="243"/>
      <c r="J199" s="262">
        <v>22500</v>
      </c>
      <c r="K199" s="88"/>
      <c r="L199" s="143">
        <f>TRUNC(H199*J199,2)</f>
        <v>22500</v>
      </c>
      <c r="N199" s="81"/>
      <c r="R199" s="79" t="str">
        <f>IF(AND(($L199&gt;0),ISBLANK(B199)),B199,"NOT")</f>
        <v>NOT</v>
      </c>
      <c r="S199" s="79" t="str">
        <f>IF(AND(($L199&gt;0),ISBLANK(D199)),D199,"NOT")</f>
        <v>NOT</v>
      </c>
      <c r="T199" s="79" t="str">
        <f>IF(AND(($L199&gt;0),ISBLANK(F199)),F199,"NOT")</f>
        <v>NOT</v>
      </c>
      <c r="V199" s="79" t="str">
        <f>LEFT(D199,3)</f>
        <v xml:space="preserve">5. </v>
      </c>
    </row>
    <row r="200" spans="1:22" x14ac:dyDescent="0.2">
      <c r="B200" s="259"/>
      <c r="C200" s="88"/>
      <c r="D200" s="260"/>
      <c r="E200" s="243"/>
      <c r="F200" s="261"/>
      <c r="G200" s="243"/>
      <c r="H200" s="262"/>
      <c r="I200" s="243"/>
      <c r="J200" s="262"/>
      <c r="K200" s="88"/>
      <c r="L200" s="143">
        <f>TRUNC(H200*J200,2)</f>
        <v>0</v>
      </c>
      <c r="N200" s="81"/>
      <c r="R200" s="79" t="str">
        <f>IF(AND(($L200&gt;0),ISBLANK(B200)),B200,"NOT")</f>
        <v>NOT</v>
      </c>
      <c r="S200" s="79" t="str">
        <f>IF(AND(($L200&gt;0),ISBLANK(D200)),D200,"NOT")</f>
        <v>NOT</v>
      </c>
      <c r="T200" s="79" t="str">
        <f>IF(AND(($L200&gt;0),ISBLANK(F200)),F200,"NOT")</f>
        <v>NOT</v>
      </c>
      <c r="V200" s="79" t="str">
        <f t="shared" ref="V200:V203" si="37">LEFT(D200,3)</f>
        <v/>
      </c>
    </row>
    <row r="201" spans="1:22" x14ac:dyDescent="0.2">
      <c r="B201" s="259"/>
      <c r="C201" s="88"/>
      <c r="D201" s="260"/>
      <c r="E201" s="243"/>
      <c r="F201" s="261"/>
      <c r="G201" s="243"/>
      <c r="H201" s="262"/>
      <c r="I201" s="243"/>
      <c r="J201" s="262"/>
      <c r="K201" s="88"/>
      <c r="L201" s="143">
        <f>TRUNC(H201*J201,2)</f>
        <v>0</v>
      </c>
      <c r="N201" s="81"/>
      <c r="R201" s="79" t="str">
        <f>IF(AND(($L201&gt;0),ISBLANK(B201)),B201,"NOT")</f>
        <v>NOT</v>
      </c>
      <c r="S201" s="79" t="str">
        <f>IF(AND(($L201&gt;0),ISBLANK(D201)),D201,"NOT")</f>
        <v>NOT</v>
      </c>
      <c r="T201" s="79" t="str">
        <f>IF(AND(($L201&gt;0),ISBLANK(F201)),F201,"NOT")</f>
        <v>NOT</v>
      </c>
      <c r="V201" s="79" t="str">
        <f t="shared" si="37"/>
        <v/>
      </c>
    </row>
    <row r="202" spans="1:22" x14ac:dyDescent="0.2">
      <c r="B202" s="259"/>
      <c r="C202" s="88"/>
      <c r="D202" s="260"/>
      <c r="E202" s="243"/>
      <c r="F202" s="261"/>
      <c r="G202" s="243"/>
      <c r="H202" s="262"/>
      <c r="I202" s="243"/>
      <c r="J202" s="262"/>
      <c r="K202" s="88"/>
      <c r="L202" s="143">
        <f>TRUNC(H202*J202,2)</f>
        <v>0</v>
      </c>
      <c r="N202" s="81"/>
      <c r="R202" s="79" t="str">
        <f>IF(AND(($L202&gt;0),ISBLANK(B202)),B202,"NOT")</f>
        <v>NOT</v>
      </c>
      <c r="S202" s="79" t="str">
        <f>IF(AND(($L202&gt;0),ISBLANK(D202)),D202,"NOT")</f>
        <v>NOT</v>
      </c>
      <c r="T202" s="79" t="str">
        <f>IF(AND(($L202&gt;0),ISBLANK(F202)),F202,"NOT")</f>
        <v>NOT</v>
      </c>
      <c r="V202" s="79" t="str">
        <f t="shared" si="37"/>
        <v/>
      </c>
    </row>
    <row r="203" spans="1:22" x14ac:dyDescent="0.2">
      <c r="B203" s="259"/>
      <c r="C203" s="88"/>
      <c r="D203" s="260"/>
      <c r="E203" s="243"/>
      <c r="F203" s="261"/>
      <c r="G203" s="243"/>
      <c r="H203" s="262"/>
      <c r="I203" s="243"/>
      <c r="J203" s="262"/>
      <c r="K203" s="88"/>
      <c r="L203" s="143">
        <f>TRUNC(H203*J203,2)</f>
        <v>0</v>
      </c>
      <c r="N203" s="81"/>
      <c r="R203" s="79" t="str">
        <f>IF(AND(($L203&gt;0),ISBLANK(B203)),B203,"NOT")</f>
        <v>NOT</v>
      </c>
      <c r="S203" s="79" t="str">
        <f>IF(AND(($L203&gt;0),ISBLANK(D203)),D203,"NOT")</f>
        <v>NOT</v>
      </c>
      <c r="T203" s="79" t="str">
        <f>IF(AND(($L203&gt;0),ISBLANK(F203)),F203,"NOT")</f>
        <v>NOT</v>
      </c>
      <c r="V203" s="79" t="str">
        <f t="shared" si="37"/>
        <v/>
      </c>
    </row>
    <row r="204" spans="1:22" x14ac:dyDescent="0.2">
      <c r="B204" s="104"/>
      <c r="C204" s="88"/>
      <c r="D204" s="81"/>
      <c r="F204" s="81"/>
      <c r="H204" s="81"/>
      <c r="J204" s="81"/>
      <c r="K204" s="88"/>
      <c r="L204" s="81"/>
      <c r="N204" s="227"/>
    </row>
    <row r="205" spans="1:22" x14ac:dyDescent="0.2">
      <c r="B205" s="104"/>
      <c r="C205" s="88"/>
      <c r="D205" s="81"/>
      <c r="F205" s="81"/>
      <c r="H205" s="81"/>
      <c r="J205" s="81"/>
      <c r="K205" s="88"/>
      <c r="L205" s="81"/>
      <c r="N205" s="227"/>
    </row>
    <row r="206" spans="1:22" ht="27" customHeight="1" x14ac:dyDescent="0.2">
      <c r="A206" s="247">
        <v>6</v>
      </c>
      <c r="B206" s="248" t="s">
        <v>298</v>
      </c>
      <c r="C206" s="249"/>
      <c r="D206" s="760"/>
      <c r="E206" s="761"/>
      <c r="F206" s="761"/>
      <c r="G206" s="761"/>
      <c r="H206" s="762"/>
      <c r="I206" s="250"/>
      <c r="J206" s="251" t="s">
        <v>18</v>
      </c>
      <c r="K206" s="249"/>
      <c r="L206" s="252">
        <f>L208+L226</f>
        <v>56460</v>
      </c>
      <c r="M206" s="250"/>
      <c r="N206" s="253">
        <f>IF(L206=0,0%,L206/L$8)</f>
        <v>0.20218080249234571</v>
      </c>
      <c r="O206" s="94"/>
      <c r="P206" s="95"/>
      <c r="Q206" s="79" t="e">
        <f>IF(AND(R227=#REF!,#REF!&gt;#REF!),D206,0)</f>
        <v>#REF!</v>
      </c>
      <c r="R206" s="79" t="e">
        <f>IF(AND(R227=#REF!,#REF!&gt;#REF!),D206,0)</f>
        <v>#REF!</v>
      </c>
      <c r="S206" s="79">
        <f>IF('9. Project budget summary'!T41&gt;0,('9. Project budget summary'!T37+'9. Project budget summary'!T33)/'9. Project budget summary'!T41,0)</f>
        <v>0.67187048492599999</v>
      </c>
      <c r="T206" s="231" t="s">
        <v>172</v>
      </c>
      <c r="U206" s="320" t="s">
        <v>183</v>
      </c>
      <c r="V206" s="271">
        <v>0.7</v>
      </c>
    </row>
    <row r="207" spans="1:22" s="76" customFormat="1" ht="7.5" customHeight="1" x14ac:dyDescent="0.2">
      <c r="A207" s="87"/>
      <c r="B207" s="88"/>
      <c r="C207" s="88"/>
      <c r="D207" s="70"/>
      <c r="E207" s="70"/>
      <c r="F207" s="70"/>
      <c r="G207" s="70"/>
      <c r="H207" s="70"/>
      <c r="I207" s="70"/>
      <c r="J207" s="70"/>
      <c r="K207" s="88"/>
      <c r="L207" s="70"/>
      <c r="M207" s="70"/>
      <c r="N207" s="70"/>
      <c r="O207" s="89"/>
      <c r="V207" s="79"/>
    </row>
    <row r="208" spans="1:22" ht="13.5" customHeight="1" x14ac:dyDescent="0.2">
      <c r="A208" s="276"/>
      <c r="B208" s="278" t="s">
        <v>301</v>
      </c>
      <c r="C208" s="277"/>
      <c r="D208" s="747" t="s">
        <v>166</v>
      </c>
      <c r="E208" s="748"/>
      <c r="F208" s="748"/>
      <c r="G208" s="748"/>
      <c r="H208" s="748"/>
      <c r="I208" s="279"/>
      <c r="J208" s="280" t="s">
        <v>18</v>
      </c>
      <c r="K208" s="88"/>
      <c r="L208" s="156">
        <f>SUM(L215:L224)</f>
        <v>55460</v>
      </c>
      <c r="M208" s="246"/>
      <c r="N208" s="147">
        <f>IF(L208=0,0%,L208/L$8)</f>
        <v>0.19859984601887165</v>
      </c>
      <c r="O208" s="495">
        <f>IF(LEN(R208)&gt;3,1,0)</f>
        <v>0</v>
      </c>
      <c r="R208" s="79" t="str">
        <f>IF(AND(R214="NOT",S214="NOT",T214="NOT"),"NOT",D208)</f>
        <v>NOT</v>
      </c>
    </row>
    <row r="209" spans="1:22" s="76" customFormat="1" ht="3" customHeight="1" x14ac:dyDescent="0.2">
      <c r="A209" s="87"/>
      <c r="B209" s="88"/>
      <c r="C209" s="88"/>
      <c r="D209" s="70"/>
      <c r="E209" s="70"/>
      <c r="F209" s="70"/>
      <c r="G209" s="70"/>
      <c r="H209" s="70"/>
      <c r="I209" s="70"/>
      <c r="J209" s="70"/>
      <c r="K209" s="88"/>
      <c r="L209" s="70"/>
      <c r="M209" s="70"/>
      <c r="N209" s="70"/>
      <c r="O209" s="89"/>
      <c r="V209" s="79"/>
    </row>
    <row r="210" spans="1:22" ht="24.75" customHeight="1" x14ac:dyDescent="0.2">
      <c r="B210" s="749" t="s">
        <v>203</v>
      </c>
      <c r="C210" s="750"/>
      <c r="D210" s="750"/>
      <c r="E210" s="750"/>
      <c r="F210" s="750"/>
      <c r="H210" s="81"/>
      <c r="J210" s="81"/>
      <c r="K210" s="88"/>
      <c r="L210" s="81"/>
      <c r="N210" s="227"/>
      <c r="R210" s="79" t="str">
        <f>IF(AND(($L208&gt;0),ISBLANK(B212)),B210,"NOT")</f>
        <v>NOT</v>
      </c>
    </row>
    <row r="211" spans="1:22" ht="3" customHeight="1" x14ac:dyDescent="0.2">
      <c r="B211" s="104"/>
      <c r="C211" s="88"/>
      <c r="D211" s="81"/>
      <c r="F211" s="81"/>
      <c r="H211" s="81"/>
      <c r="J211" s="81"/>
      <c r="K211" s="88"/>
      <c r="L211" s="81"/>
      <c r="N211" s="227"/>
    </row>
    <row r="212" spans="1:22" ht="90" customHeight="1" x14ac:dyDescent="0.2">
      <c r="B212" s="763" t="s">
        <v>804</v>
      </c>
      <c r="C212" s="745"/>
      <c r="D212" s="745"/>
      <c r="E212" s="745"/>
      <c r="F212" s="745"/>
      <c r="G212" s="745"/>
      <c r="H212" s="745"/>
      <c r="I212" s="745"/>
      <c r="J212" s="745"/>
      <c r="K212" s="745"/>
      <c r="L212" s="746"/>
      <c r="M212" s="70" t="s">
        <v>19</v>
      </c>
      <c r="N212" s="227"/>
    </row>
    <row r="213" spans="1:22" ht="3.75" customHeight="1" x14ac:dyDescent="0.2">
      <c r="B213" s="104"/>
      <c r="C213" s="88"/>
      <c r="D213" s="81"/>
      <c r="F213" s="81"/>
      <c r="H213" s="81"/>
      <c r="J213" s="81"/>
      <c r="K213" s="88"/>
      <c r="L213" s="81"/>
      <c r="N213" s="227"/>
    </row>
    <row r="214" spans="1:22" ht="38.25" x14ac:dyDescent="0.2">
      <c r="B214" s="244" t="s">
        <v>204</v>
      </c>
      <c r="C214" s="88"/>
      <c r="D214" s="244" t="s">
        <v>580</v>
      </c>
      <c r="F214" s="244" t="s">
        <v>205</v>
      </c>
      <c r="H214" s="244" t="s">
        <v>16</v>
      </c>
      <c r="J214" s="244" t="s">
        <v>15</v>
      </c>
      <c r="K214" s="245"/>
      <c r="L214" s="103" t="s">
        <v>141</v>
      </c>
      <c r="N214" s="81"/>
      <c r="R214" s="255" t="str">
        <f>IF(AND(R215="NOT",R216="NOT",R217="NOT",R218="NOT",R219="NOT",R220="NOT",R221="NOT",R222="NOT",R223="NOT",R224="NOT",R210="NOT"),"NOT",D208)</f>
        <v>NOT</v>
      </c>
      <c r="S214" s="255" t="str">
        <f>IF(AND(S215="NOT",S216="NOT",S217="NOT",S218="NOT",S219="NOT",S220="NOT",S221="NOT",S222="NOT",S223="NOT",S224="NOT",R210="NOT"),"NOT",D208)</f>
        <v>NOT</v>
      </c>
      <c r="T214" s="255" t="str">
        <f>IF(AND(T215="NOT",T216="NOT",T217="NOT",T218="NOT",T219="NOT",T220="NOT",T221="NOT",T222="NOT",T223="NOT",T224="NOT",R210="NOT"),"NOT",D208)</f>
        <v>NOT</v>
      </c>
    </row>
    <row r="215" spans="1:22" ht="51" x14ac:dyDescent="0.2">
      <c r="B215" s="520" t="s">
        <v>805</v>
      </c>
      <c r="C215" s="88"/>
      <c r="D215" s="260" t="s">
        <v>895</v>
      </c>
      <c r="E215" s="243"/>
      <c r="F215" s="513" t="s">
        <v>764</v>
      </c>
      <c r="G215" s="243"/>
      <c r="H215" s="262">
        <v>1</v>
      </c>
      <c r="I215" s="243"/>
      <c r="J215" s="262">
        <v>2500</v>
      </c>
      <c r="K215" s="88"/>
      <c r="L215" s="143">
        <f t="shared" ref="L215:L224" si="38">TRUNC(H215*J215,2)</f>
        <v>2500</v>
      </c>
      <c r="N215" s="81"/>
      <c r="R215" s="79" t="str">
        <f t="shared" ref="R215:R224" si="39">IF(AND(($L215&gt;0),ISBLANK(B215)),B215,"NOT")</f>
        <v>NOT</v>
      </c>
      <c r="S215" s="79" t="str">
        <f t="shared" ref="S215:S224" si="40">IF(AND(($L215&gt;0),ISBLANK(D215)),D215,"NOT")</f>
        <v>NOT</v>
      </c>
      <c r="T215" s="79" t="str">
        <f t="shared" ref="T215:T224" si="41">IF(AND(($L215&gt;0),ISBLANK(F215)),F215,"NOT")</f>
        <v>NOT</v>
      </c>
      <c r="V215" s="79" t="str">
        <f t="shared" ref="V215:V224" si="42">LEFT(D215,3)</f>
        <v>14.</v>
      </c>
    </row>
    <row r="216" spans="1:22" ht="51" x14ac:dyDescent="0.2">
      <c r="B216" s="520" t="s">
        <v>806</v>
      </c>
      <c r="C216" s="88"/>
      <c r="D216" s="260" t="s">
        <v>895</v>
      </c>
      <c r="E216" s="243"/>
      <c r="F216" s="513" t="s">
        <v>764</v>
      </c>
      <c r="G216" s="243"/>
      <c r="H216" s="262">
        <v>4</v>
      </c>
      <c r="I216" s="243"/>
      <c r="J216" s="262">
        <v>5500</v>
      </c>
      <c r="K216" s="88"/>
      <c r="L216" s="143">
        <f t="shared" si="38"/>
        <v>22000</v>
      </c>
      <c r="N216" s="81"/>
      <c r="R216" s="79" t="str">
        <f t="shared" si="39"/>
        <v>NOT</v>
      </c>
      <c r="S216" s="79" t="str">
        <f t="shared" si="40"/>
        <v>NOT</v>
      </c>
      <c r="T216" s="79" t="str">
        <f t="shared" si="41"/>
        <v>NOT</v>
      </c>
      <c r="V216" s="79" t="str">
        <f t="shared" si="42"/>
        <v>14.</v>
      </c>
    </row>
    <row r="217" spans="1:22" ht="51" x14ac:dyDescent="0.2">
      <c r="B217" s="520" t="s">
        <v>807</v>
      </c>
      <c r="C217" s="88"/>
      <c r="D217" s="260" t="s">
        <v>895</v>
      </c>
      <c r="E217" s="243"/>
      <c r="F217" s="513" t="s">
        <v>764</v>
      </c>
      <c r="G217" s="243"/>
      <c r="H217" s="262">
        <v>1</v>
      </c>
      <c r="I217" s="243"/>
      <c r="J217" s="262">
        <v>15000</v>
      </c>
      <c r="K217" s="88"/>
      <c r="L217" s="143">
        <f t="shared" si="38"/>
        <v>15000</v>
      </c>
      <c r="N217" s="81"/>
      <c r="R217" s="79" t="str">
        <f t="shared" si="39"/>
        <v>NOT</v>
      </c>
      <c r="S217" s="79" t="str">
        <f t="shared" si="40"/>
        <v>NOT</v>
      </c>
      <c r="T217" s="79" t="str">
        <f t="shared" si="41"/>
        <v>NOT</v>
      </c>
      <c r="V217" s="79" t="str">
        <f t="shared" si="42"/>
        <v>14.</v>
      </c>
    </row>
    <row r="218" spans="1:22" ht="51" x14ac:dyDescent="0.2">
      <c r="B218" s="520" t="s">
        <v>808</v>
      </c>
      <c r="C218" s="88"/>
      <c r="D218" s="260" t="s">
        <v>895</v>
      </c>
      <c r="E218" s="243"/>
      <c r="F218" s="513" t="s">
        <v>764</v>
      </c>
      <c r="G218" s="243"/>
      <c r="H218" s="262">
        <v>1</v>
      </c>
      <c r="I218" s="243"/>
      <c r="J218" s="262">
        <v>15960</v>
      </c>
      <c r="K218" s="88"/>
      <c r="L218" s="143">
        <f t="shared" si="38"/>
        <v>15960</v>
      </c>
      <c r="N218" s="81"/>
      <c r="R218" s="79" t="str">
        <f t="shared" si="39"/>
        <v>NOT</v>
      </c>
      <c r="S218" s="79" t="str">
        <f t="shared" si="40"/>
        <v>NOT</v>
      </c>
      <c r="T218" s="79" t="str">
        <f t="shared" si="41"/>
        <v>NOT</v>
      </c>
      <c r="V218" s="79" t="str">
        <f t="shared" si="42"/>
        <v>14.</v>
      </c>
    </row>
    <row r="219" spans="1:22" x14ac:dyDescent="0.2">
      <c r="B219" s="259"/>
      <c r="C219" s="88"/>
      <c r="D219" s="260"/>
      <c r="E219" s="243"/>
      <c r="F219" s="261"/>
      <c r="G219" s="243"/>
      <c r="H219" s="262"/>
      <c r="I219" s="243"/>
      <c r="J219" s="262"/>
      <c r="K219" s="88"/>
      <c r="L219" s="143">
        <f t="shared" si="38"/>
        <v>0</v>
      </c>
      <c r="N219" s="81"/>
      <c r="R219" s="79" t="str">
        <f t="shared" si="39"/>
        <v>NOT</v>
      </c>
      <c r="S219" s="79" t="str">
        <f t="shared" si="40"/>
        <v>NOT</v>
      </c>
      <c r="T219" s="79" t="str">
        <f t="shared" si="41"/>
        <v>NOT</v>
      </c>
      <c r="V219" s="79" t="str">
        <f t="shared" si="42"/>
        <v/>
      </c>
    </row>
    <row r="220" spans="1:22" x14ac:dyDescent="0.2">
      <c r="B220" s="259"/>
      <c r="C220" s="88"/>
      <c r="D220" s="260"/>
      <c r="E220" s="243"/>
      <c r="F220" s="261"/>
      <c r="G220" s="243"/>
      <c r="H220" s="262"/>
      <c r="I220" s="243"/>
      <c r="J220" s="262"/>
      <c r="K220" s="88"/>
      <c r="L220" s="143">
        <f t="shared" si="38"/>
        <v>0</v>
      </c>
      <c r="N220" s="81"/>
      <c r="R220" s="79" t="str">
        <f t="shared" si="39"/>
        <v>NOT</v>
      </c>
      <c r="S220" s="79" t="str">
        <f t="shared" si="40"/>
        <v>NOT</v>
      </c>
      <c r="T220" s="79" t="str">
        <f t="shared" si="41"/>
        <v>NOT</v>
      </c>
      <c r="V220" s="79" t="str">
        <f t="shared" si="42"/>
        <v/>
      </c>
    </row>
    <row r="221" spans="1:22" x14ac:dyDescent="0.2">
      <c r="B221" s="259"/>
      <c r="C221" s="88"/>
      <c r="D221" s="260"/>
      <c r="E221" s="243"/>
      <c r="F221" s="261"/>
      <c r="G221" s="243"/>
      <c r="H221" s="262"/>
      <c r="I221" s="243"/>
      <c r="J221" s="262"/>
      <c r="K221" s="88"/>
      <c r="L221" s="143">
        <f t="shared" si="38"/>
        <v>0</v>
      </c>
      <c r="N221" s="81"/>
      <c r="R221" s="79" t="str">
        <f t="shared" si="39"/>
        <v>NOT</v>
      </c>
      <c r="S221" s="79" t="str">
        <f t="shared" si="40"/>
        <v>NOT</v>
      </c>
      <c r="T221" s="79" t="str">
        <f t="shared" si="41"/>
        <v>NOT</v>
      </c>
      <c r="V221" s="79" t="str">
        <f t="shared" si="42"/>
        <v/>
      </c>
    </row>
    <row r="222" spans="1:22" x14ac:dyDescent="0.2">
      <c r="B222" s="259"/>
      <c r="C222" s="88"/>
      <c r="D222" s="260"/>
      <c r="E222" s="243"/>
      <c r="F222" s="261"/>
      <c r="G222" s="243"/>
      <c r="H222" s="262"/>
      <c r="I222" s="243"/>
      <c r="J222" s="262"/>
      <c r="K222" s="88"/>
      <c r="L222" s="143">
        <f t="shared" si="38"/>
        <v>0</v>
      </c>
      <c r="N222" s="81"/>
      <c r="R222" s="79" t="str">
        <f t="shared" si="39"/>
        <v>NOT</v>
      </c>
      <c r="S222" s="79" t="str">
        <f t="shared" si="40"/>
        <v>NOT</v>
      </c>
      <c r="T222" s="79" t="str">
        <f t="shared" si="41"/>
        <v>NOT</v>
      </c>
      <c r="V222" s="79" t="str">
        <f t="shared" si="42"/>
        <v/>
      </c>
    </row>
    <row r="223" spans="1:22" x14ac:dyDescent="0.2">
      <c r="B223" s="259"/>
      <c r="C223" s="88"/>
      <c r="D223" s="260"/>
      <c r="E223" s="243"/>
      <c r="F223" s="261"/>
      <c r="G223" s="243"/>
      <c r="H223" s="262"/>
      <c r="I223" s="243"/>
      <c r="J223" s="262"/>
      <c r="K223" s="88"/>
      <c r="L223" s="143">
        <f t="shared" si="38"/>
        <v>0</v>
      </c>
      <c r="N223" s="81"/>
      <c r="R223" s="79" t="str">
        <f t="shared" si="39"/>
        <v>NOT</v>
      </c>
      <c r="S223" s="79" t="str">
        <f t="shared" si="40"/>
        <v>NOT</v>
      </c>
      <c r="T223" s="79" t="str">
        <f t="shared" si="41"/>
        <v>NOT</v>
      </c>
      <c r="V223" s="79" t="str">
        <f t="shared" si="42"/>
        <v/>
      </c>
    </row>
    <row r="224" spans="1:22" x14ac:dyDescent="0.2">
      <c r="B224" s="259"/>
      <c r="C224" s="88"/>
      <c r="D224" s="260"/>
      <c r="E224" s="243"/>
      <c r="F224" s="261"/>
      <c r="G224" s="243"/>
      <c r="H224" s="262"/>
      <c r="I224" s="243"/>
      <c r="J224" s="262"/>
      <c r="K224" s="88"/>
      <c r="L224" s="143">
        <f t="shared" si="38"/>
        <v>0</v>
      </c>
      <c r="N224" s="81"/>
      <c r="R224" s="79" t="str">
        <f t="shared" si="39"/>
        <v>NOT</v>
      </c>
      <c r="S224" s="79" t="str">
        <f t="shared" si="40"/>
        <v>NOT</v>
      </c>
      <c r="T224" s="79" t="str">
        <f t="shared" si="41"/>
        <v>NOT</v>
      </c>
      <c r="V224" s="79" t="str">
        <f t="shared" si="42"/>
        <v/>
      </c>
    </row>
    <row r="225" spans="1:22" x14ac:dyDescent="0.2">
      <c r="B225" s="104"/>
      <c r="C225" s="88"/>
      <c r="D225" s="81"/>
      <c r="F225" s="81"/>
      <c r="H225" s="81"/>
      <c r="J225" s="81"/>
      <c r="K225" s="88"/>
      <c r="L225" s="81"/>
      <c r="N225" s="227"/>
    </row>
    <row r="226" spans="1:22" ht="13.5" customHeight="1" x14ac:dyDescent="0.2">
      <c r="A226" s="276"/>
      <c r="B226" s="278" t="s">
        <v>302</v>
      </c>
      <c r="C226" s="249"/>
      <c r="D226" s="754" t="s">
        <v>300</v>
      </c>
      <c r="E226" s="755"/>
      <c r="F226" s="755"/>
      <c r="G226" s="755"/>
      <c r="H226" s="756"/>
      <c r="I226" s="250"/>
      <c r="J226" s="280" t="s">
        <v>18</v>
      </c>
      <c r="K226" s="88"/>
      <c r="L226" s="156">
        <f>IF(LEN(D1)&gt;5,1000,0)</f>
        <v>1000</v>
      </c>
      <c r="M226" s="246"/>
      <c r="N226" s="147">
        <f>IF(L226=0,0%,L226/L$8)</f>
        <v>3.5809564734740648E-3</v>
      </c>
      <c r="R226" s="79" t="e">
        <f>IF(AND(#REF!="NOT",#REF!="NOT",#REF!="NOT"),"NOT",D226)</f>
        <v>#REF!</v>
      </c>
    </row>
    <row r="227" spans="1:22" x14ac:dyDescent="0.2">
      <c r="B227" s="104"/>
      <c r="C227" s="88"/>
      <c r="D227" s="81"/>
      <c r="F227" s="81"/>
      <c r="H227" s="81"/>
      <c r="J227" s="81"/>
      <c r="K227" s="88"/>
      <c r="L227" s="81"/>
      <c r="N227" s="227"/>
      <c r="R227" s="321" t="str">
        <f>LEFT('1. General Data'!E25,5)</f>
        <v>2.1.1</v>
      </c>
      <c r="S227" s="231">
        <f>IF('9. Project budget summary'!T41&gt;0,'9. Project budget summary'!T37/'9. Project budget summary'!T41,0)</f>
        <v>0.52183891467003807</v>
      </c>
      <c r="T227" s="231" t="s">
        <v>170</v>
      </c>
      <c r="U227" s="320" t="s">
        <v>26</v>
      </c>
      <c r="V227" s="271">
        <v>0.5</v>
      </c>
    </row>
    <row r="228" spans="1:22" ht="40.5" customHeight="1" x14ac:dyDescent="0.2">
      <c r="A228" s="247">
        <v>7</v>
      </c>
      <c r="B228" s="248" t="s">
        <v>299</v>
      </c>
      <c r="C228" s="249"/>
      <c r="D228" s="317"/>
      <c r="E228" s="327"/>
      <c r="F228" s="757"/>
      <c r="G228" s="758"/>
      <c r="H228" s="759"/>
      <c r="I228" s="250"/>
      <c r="J228" s="251" t="s">
        <v>18</v>
      </c>
      <c r="K228" s="249"/>
      <c r="L228" s="252">
        <f>L230+L248</f>
        <v>96000</v>
      </c>
      <c r="M228" s="250"/>
      <c r="N228" s="253">
        <f>IF(L228=0,0%,L228/L$8)</f>
        <v>0.34377182145351021</v>
      </c>
      <c r="O228" s="94"/>
      <c r="P228" s="95"/>
      <c r="Q228" s="321" t="e">
        <f>IF(R227=#REF!,IF(#REF!&gt;#REF!,D228,0),IF(AND(OR(R227=U228,R227=#REF!,R227=U229),N228&gt;V228),D228,0))</f>
        <v>#REF!</v>
      </c>
      <c r="R228" s="321">
        <f>IF(AND(R227=U227,S227&lt;V227),F228,0)</f>
        <v>0</v>
      </c>
      <c r="S228" s="231">
        <f>IF('9. Project budget summary'!T41&gt;0,'9. Project budget summary'!T37/'9. Project budget summary'!T41,0)</f>
        <v>0.52183891467003807</v>
      </c>
      <c r="T228" s="231" t="s">
        <v>171</v>
      </c>
      <c r="U228" s="320" t="s">
        <v>32</v>
      </c>
      <c r="V228" s="271">
        <v>0.7</v>
      </c>
    </row>
    <row r="229" spans="1:22" s="76" customFormat="1" ht="7.5" customHeight="1" x14ac:dyDescent="0.2">
      <c r="A229" s="87"/>
      <c r="B229" s="88"/>
      <c r="C229" s="88"/>
      <c r="D229" s="70"/>
      <c r="E229" s="70"/>
      <c r="F229" s="70"/>
      <c r="G229" s="70"/>
      <c r="H229" s="70"/>
      <c r="I229" s="70"/>
      <c r="J229" s="70"/>
      <c r="K229" s="88"/>
      <c r="L229" s="70"/>
      <c r="M229" s="70"/>
      <c r="N229" s="70"/>
      <c r="O229" s="89"/>
      <c r="S229" s="231">
        <f>IF('9. Project budget summary'!T41&gt;0,'9. Project budget summary'!T37/'9. Project budget summary'!T41,0)</f>
        <v>0.52183891467003807</v>
      </c>
      <c r="T229" s="231" t="s">
        <v>171</v>
      </c>
      <c r="U229" s="320" t="s">
        <v>24</v>
      </c>
      <c r="V229" s="271">
        <v>0.7</v>
      </c>
    </row>
    <row r="230" spans="1:22" ht="28.5" customHeight="1" x14ac:dyDescent="0.2">
      <c r="A230" s="276"/>
      <c r="B230" s="278" t="s">
        <v>303</v>
      </c>
      <c r="C230" s="277"/>
      <c r="D230" s="747" t="s">
        <v>166</v>
      </c>
      <c r="E230" s="748"/>
      <c r="F230" s="748"/>
      <c r="G230" s="748"/>
      <c r="H230" s="748"/>
      <c r="I230" s="279"/>
      <c r="J230" s="280" t="s">
        <v>18</v>
      </c>
      <c r="K230" s="88"/>
      <c r="L230" s="156">
        <f>SUM(L237:L246)</f>
        <v>96000</v>
      </c>
      <c r="M230" s="246"/>
      <c r="N230" s="147">
        <f>IF(L230=0,0%,L230/L$8)</f>
        <v>0.34377182145351021</v>
      </c>
      <c r="O230" s="495">
        <f>IF(LEN(R230)&gt;3,1,0)</f>
        <v>0</v>
      </c>
      <c r="R230" s="79" t="str">
        <f>IF(AND(R236="NOT",S236="NOT",T236="NOT"),"NOT",D230)</f>
        <v>NOT</v>
      </c>
      <c r="U230" s="328"/>
    </row>
    <row r="231" spans="1:22" s="76" customFormat="1" ht="3" customHeight="1" x14ac:dyDescent="0.2">
      <c r="A231" s="87"/>
      <c r="B231" s="88"/>
      <c r="C231" s="88"/>
      <c r="D231" s="70"/>
      <c r="E231" s="70"/>
      <c r="F231" s="70"/>
      <c r="G231" s="70"/>
      <c r="H231" s="70"/>
      <c r="I231" s="70"/>
      <c r="J231" s="70"/>
      <c r="K231" s="88"/>
      <c r="L231" s="70"/>
      <c r="M231" s="70"/>
      <c r="N231" s="70"/>
      <c r="O231" s="89"/>
      <c r="V231" s="79"/>
    </row>
    <row r="232" spans="1:22" ht="29.25" customHeight="1" x14ac:dyDescent="0.2">
      <c r="B232" s="749" t="s">
        <v>203</v>
      </c>
      <c r="C232" s="750"/>
      <c r="D232" s="750"/>
      <c r="E232" s="750"/>
      <c r="F232" s="750"/>
      <c r="H232" s="81"/>
      <c r="J232" s="81"/>
      <c r="K232" s="88"/>
      <c r="L232" s="81"/>
      <c r="N232" s="227"/>
      <c r="R232" s="79" t="str">
        <f>IF(AND(($L230&gt;0),ISBLANK(B234)),B232,"NOT")</f>
        <v>NOT</v>
      </c>
    </row>
    <row r="233" spans="1:22" ht="3" customHeight="1" x14ac:dyDescent="0.2">
      <c r="B233" s="104"/>
      <c r="C233" s="88"/>
      <c r="D233" s="81"/>
      <c r="F233" s="81"/>
      <c r="H233" s="81"/>
      <c r="J233" s="81"/>
      <c r="K233" s="88"/>
      <c r="L233" s="81"/>
      <c r="N233" s="227"/>
    </row>
    <row r="234" spans="1:22" ht="90" customHeight="1" x14ac:dyDescent="0.2">
      <c r="B234" s="763" t="s">
        <v>809</v>
      </c>
      <c r="C234" s="745"/>
      <c r="D234" s="745"/>
      <c r="E234" s="745"/>
      <c r="F234" s="745"/>
      <c r="G234" s="745"/>
      <c r="H234" s="745"/>
      <c r="I234" s="745"/>
      <c r="J234" s="745"/>
      <c r="K234" s="745"/>
      <c r="L234" s="746"/>
      <c r="M234" s="70" t="s">
        <v>19</v>
      </c>
      <c r="N234" s="227"/>
    </row>
    <row r="235" spans="1:22" ht="3.75" customHeight="1" x14ac:dyDescent="0.2">
      <c r="B235" s="104"/>
      <c r="C235" s="88"/>
      <c r="D235" s="81"/>
      <c r="F235" s="81"/>
      <c r="H235" s="81"/>
      <c r="J235" s="81"/>
      <c r="K235" s="88"/>
      <c r="L235" s="81"/>
      <c r="N235" s="227"/>
    </row>
    <row r="236" spans="1:22" ht="12.75" customHeight="1" x14ac:dyDescent="0.2">
      <c r="B236" s="244" t="s">
        <v>17</v>
      </c>
      <c r="C236" s="88"/>
      <c r="D236" s="244" t="s">
        <v>580</v>
      </c>
      <c r="F236" s="244" t="s">
        <v>205</v>
      </c>
      <c r="H236" s="244" t="s">
        <v>16</v>
      </c>
      <c r="J236" s="244" t="s">
        <v>15</v>
      </c>
      <c r="K236" s="245"/>
      <c r="L236" s="103" t="s">
        <v>141</v>
      </c>
      <c r="N236" s="81"/>
      <c r="R236" s="255" t="str">
        <f>IF(AND(R237="NOT",R238="NOT",R239="NOT",R240="NOT",R241="NOT",R242="NOT",R243="NOT",R244="NOT",R245="NOT",R246="NOT",R232="NOT"),"NOT",D230)</f>
        <v>NOT</v>
      </c>
      <c r="S236" s="255" t="str">
        <f>IF(AND(S237="NOT",S238="NOT",S239="NOT",S240="NOT",S241="NOT",S242="NOT",S243="NOT",S244="NOT",S245="NOT",S246="NOT",R232="NOT"),"NOT",D230)</f>
        <v>NOT</v>
      </c>
      <c r="T236" s="255" t="str">
        <f>IF(AND(T237="NOT",T238="NOT",T239="NOT",T240="NOT",T241="NOT",T242="NOT",T243="NOT",T244="NOT",T245="NOT",T246="NOT",R232="NOT"),"NOT",D230)</f>
        <v>NOT</v>
      </c>
    </row>
    <row r="237" spans="1:22" ht="38.25" x14ac:dyDescent="0.2">
      <c r="B237" s="512" t="s">
        <v>810</v>
      </c>
      <c r="C237" s="88"/>
      <c r="D237" s="260" t="s">
        <v>897</v>
      </c>
      <c r="E237" s="243"/>
      <c r="F237" s="513" t="s">
        <v>764</v>
      </c>
      <c r="G237" s="243"/>
      <c r="H237" s="262">
        <v>1</v>
      </c>
      <c r="I237" s="243"/>
      <c r="J237" s="262">
        <v>96000</v>
      </c>
      <c r="K237" s="88"/>
      <c r="L237" s="143">
        <f t="shared" ref="L237:L246" si="43">TRUNC(H237*J237,2)</f>
        <v>96000</v>
      </c>
      <c r="N237" s="81"/>
      <c r="R237" s="79" t="str">
        <f t="shared" ref="R237:R246" si="44">IF(AND(($L237&gt;0),ISBLANK(B237)),B237,"NOT")</f>
        <v>NOT</v>
      </c>
      <c r="S237" s="79" t="str">
        <f t="shared" ref="S237:S246" si="45">IF(AND(($L237&gt;0),ISBLANK(D237)),D237,"NOT")</f>
        <v>NOT</v>
      </c>
      <c r="T237" s="79" t="str">
        <f t="shared" ref="T237:T246" si="46">IF(AND(($L237&gt;0),ISBLANK(F237)),F237,"NOT")</f>
        <v>NOT</v>
      </c>
      <c r="V237" s="79" t="str">
        <f t="shared" ref="V237:V246" si="47">LEFT(D237,3)</f>
        <v>13.</v>
      </c>
    </row>
    <row r="238" spans="1:22" x14ac:dyDescent="0.2">
      <c r="B238" s="259"/>
      <c r="C238" s="88"/>
      <c r="D238" s="260"/>
      <c r="E238" s="243"/>
      <c r="F238" s="261"/>
      <c r="G238" s="243"/>
      <c r="H238" s="262"/>
      <c r="I238" s="243"/>
      <c r="J238" s="262"/>
      <c r="K238" s="88"/>
      <c r="L238" s="143">
        <f t="shared" si="43"/>
        <v>0</v>
      </c>
      <c r="N238" s="81"/>
      <c r="R238" s="79" t="str">
        <f t="shared" si="44"/>
        <v>NOT</v>
      </c>
      <c r="S238" s="79" t="str">
        <f t="shared" si="45"/>
        <v>NOT</v>
      </c>
      <c r="T238" s="79" t="str">
        <f t="shared" si="46"/>
        <v>NOT</v>
      </c>
      <c r="V238" s="79" t="str">
        <f t="shared" si="47"/>
        <v/>
      </c>
    </row>
    <row r="239" spans="1:22" x14ac:dyDescent="0.2">
      <c r="B239" s="259"/>
      <c r="C239" s="88"/>
      <c r="D239" s="260"/>
      <c r="E239" s="243"/>
      <c r="F239" s="261"/>
      <c r="G239" s="243"/>
      <c r="H239" s="262"/>
      <c r="I239" s="243"/>
      <c r="J239" s="262"/>
      <c r="K239" s="88"/>
      <c r="L239" s="143">
        <f t="shared" si="43"/>
        <v>0</v>
      </c>
      <c r="N239" s="81"/>
      <c r="R239" s="79" t="str">
        <f t="shared" si="44"/>
        <v>NOT</v>
      </c>
      <c r="S239" s="79" t="str">
        <f t="shared" si="45"/>
        <v>NOT</v>
      </c>
      <c r="T239" s="79" t="str">
        <f t="shared" si="46"/>
        <v>NOT</v>
      </c>
      <c r="V239" s="79" t="str">
        <f t="shared" si="47"/>
        <v/>
      </c>
    </row>
    <row r="240" spans="1:22" x14ac:dyDescent="0.2">
      <c r="B240" s="259"/>
      <c r="C240" s="88"/>
      <c r="D240" s="260"/>
      <c r="E240" s="243"/>
      <c r="F240" s="261"/>
      <c r="G240" s="243"/>
      <c r="H240" s="262"/>
      <c r="I240" s="243"/>
      <c r="J240" s="262"/>
      <c r="K240" s="88"/>
      <c r="L240" s="143">
        <f t="shared" si="43"/>
        <v>0</v>
      </c>
      <c r="N240" s="81"/>
      <c r="R240" s="79" t="str">
        <f t="shared" si="44"/>
        <v>NOT</v>
      </c>
      <c r="S240" s="79" t="str">
        <f t="shared" si="45"/>
        <v>NOT</v>
      </c>
      <c r="T240" s="79" t="str">
        <f t="shared" si="46"/>
        <v>NOT</v>
      </c>
      <c r="V240" s="79" t="str">
        <f t="shared" si="47"/>
        <v/>
      </c>
    </row>
    <row r="241" spans="1:22" x14ac:dyDescent="0.2">
      <c r="B241" s="259"/>
      <c r="C241" s="88"/>
      <c r="D241" s="260"/>
      <c r="E241" s="243"/>
      <c r="F241" s="261"/>
      <c r="G241" s="243"/>
      <c r="H241" s="262"/>
      <c r="I241" s="243"/>
      <c r="J241" s="262"/>
      <c r="K241" s="88"/>
      <c r="L241" s="143">
        <f t="shared" si="43"/>
        <v>0</v>
      </c>
      <c r="N241" s="81"/>
      <c r="R241" s="79" t="str">
        <f t="shared" si="44"/>
        <v>NOT</v>
      </c>
      <c r="S241" s="79" t="str">
        <f t="shared" si="45"/>
        <v>NOT</v>
      </c>
      <c r="T241" s="79" t="str">
        <f t="shared" si="46"/>
        <v>NOT</v>
      </c>
      <c r="V241" s="79" t="str">
        <f t="shared" si="47"/>
        <v/>
      </c>
    </row>
    <row r="242" spans="1:22" x14ac:dyDescent="0.2">
      <c r="B242" s="259"/>
      <c r="C242" s="88"/>
      <c r="D242" s="260"/>
      <c r="E242" s="243"/>
      <c r="F242" s="261"/>
      <c r="G242" s="243"/>
      <c r="H242" s="262"/>
      <c r="I242" s="243"/>
      <c r="J242" s="262"/>
      <c r="K242" s="88"/>
      <c r="L242" s="143">
        <f t="shared" si="43"/>
        <v>0</v>
      </c>
      <c r="N242" s="81"/>
      <c r="R242" s="79" t="str">
        <f t="shared" si="44"/>
        <v>NOT</v>
      </c>
      <c r="S242" s="79" t="str">
        <f t="shared" si="45"/>
        <v>NOT</v>
      </c>
      <c r="T242" s="79" t="str">
        <f t="shared" si="46"/>
        <v>NOT</v>
      </c>
      <c r="V242" s="79" t="str">
        <f t="shared" si="47"/>
        <v/>
      </c>
    </row>
    <row r="243" spans="1:22" x14ac:dyDescent="0.2">
      <c r="B243" s="259"/>
      <c r="C243" s="88"/>
      <c r="D243" s="260"/>
      <c r="E243" s="243"/>
      <c r="F243" s="261"/>
      <c r="G243" s="243"/>
      <c r="H243" s="262"/>
      <c r="I243" s="243"/>
      <c r="J243" s="262"/>
      <c r="K243" s="88"/>
      <c r="L243" s="143">
        <f t="shared" si="43"/>
        <v>0</v>
      </c>
      <c r="N243" s="81"/>
      <c r="R243" s="79" t="str">
        <f t="shared" si="44"/>
        <v>NOT</v>
      </c>
      <c r="S243" s="79" t="str">
        <f t="shared" si="45"/>
        <v>NOT</v>
      </c>
      <c r="T243" s="79" t="str">
        <f t="shared" si="46"/>
        <v>NOT</v>
      </c>
      <c r="V243" s="79" t="str">
        <f t="shared" si="47"/>
        <v/>
      </c>
    </row>
    <row r="244" spans="1:22" x14ac:dyDescent="0.2">
      <c r="B244" s="259"/>
      <c r="C244" s="88"/>
      <c r="D244" s="260"/>
      <c r="E244" s="243"/>
      <c r="F244" s="261"/>
      <c r="G244" s="243"/>
      <c r="H244" s="262"/>
      <c r="I244" s="243"/>
      <c r="J244" s="262"/>
      <c r="K244" s="88"/>
      <c r="L244" s="143">
        <f t="shared" si="43"/>
        <v>0</v>
      </c>
      <c r="N244" s="81"/>
      <c r="R244" s="79" t="str">
        <f t="shared" si="44"/>
        <v>NOT</v>
      </c>
      <c r="S244" s="79" t="str">
        <f t="shared" si="45"/>
        <v>NOT</v>
      </c>
      <c r="T244" s="79" t="str">
        <f t="shared" si="46"/>
        <v>NOT</v>
      </c>
      <c r="V244" s="79" t="str">
        <f t="shared" si="47"/>
        <v/>
      </c>
    </row>
    <row r="245" spans="1:22" x14ac:dyDescent="0.2">
      <c r="B245" s="259"/>
      <c r="C245" s="88"/>
      <c r="D245" s="260"/>
      <c r="E245" s="243"/>
      <c r="F245" s="261"/>
      <c r="G245" s="243"/>
      <c r="H245" s="262"/>
      <c r="I245" s="243"/>
      <c r="J245" s="262"/>
      <c r="K245" s="88"/>
      <c r="L245" s="143">
        <f t="shared" si="43"/>
        <v>0</v>
      </c>
      <c r="N245" s="81"/>
      <c r="R245" s="79" t="str">
        <f t="shared" si="44"/>
        <v>NOT</v>
      </c>
      <c r="S245" s="79" t="str">
        <f t="shared" si="45"/>
        <v>NOT</v>
      </c>
      <c r="T245" s="79" t="str">
        <f t="shared" si="46"/>
        <v>NOT</v>
      </c>
      <c r="V245" s="79" t="str">
        <f t="shared" si="47"/>
        <v/>
      </c>
    </row>
    <row r="246" spans="1:22" x14ac:dyDescent="0.2">
      <c r="B246" s="259"/>
      <c r="C246" s="88"/>
      <c r="D246" s="260"/>
      <c r="E246" s="243"/>
      <c r="F246" s="261"/>
      <c r="G246" s="243"/>
      <c r="H246" s="262"/>
      <c r="I246" s="243"/>
      <c r="J246" s="262"/>
      <c r="K246" s="88"/>
      <c r="L246" s="143">
        <f t="shared" si="43"/>
        <v>0</v>
      </c>
      <c r="N246" s="81"/>
      <c r="R246" s="79" t="str">
        <f t="shared" si="44"/>
        <v>NOT</v>
      </c>
      <c r="S246" s="79" t="str">
        <f t="shared" si="45"/>
        <v>NOT</v>
      </c>
      <c r="T246" s="79" t="str">
        <f t="shared" si="46"/>
        <v>NOT</v>
      </c>
      <c r="V246" s="79" t="str">
        <f t="shared" si="47"/>
        <v/>
      </c>
    </row>
    <row r="247" spans="1:22" x14ac:dyDescent="0.2">
      <c r="B247" s="104"/>
      <c r="C247" s="88"/>
      <c r="D247" s="81"/>
      <c r="F247" s="81"/>
      <c r="H247" s="81"/>
      <c r="J247" s="81"/>
      <c r="K247" s="88"/>
      <c r="L247" s="81"/>
      <c r="N247" s="227"/>
    </row>
    <row r="248" spans="1:22" ht="13.5" customHeight="1" x14ac:dyDescent="0.2">
      <c r="A248" s="276"/>
      <c r="B248" s="278" t="s">
        <v>304</v>
      </c>
      <c r="C248" s="277"/>
      <c r="D248" s="747" t="s">
        <v>166</v>
      </c>
      <c r="E248" s="748"/>
      <c r="F248" s="748"/>
      <c r="G248" s="748"/>
      <c r="H248" s="748"/>
      <c r="I248" s="279"/>
      <c r="J248" s="280" t="s">
        <v>18</v>
      </c>
      <c r="K248" s="88"/>
      <c r="L248" s="156">
        <f>SUM(L255:L258)</f>
        <v>0</v>
      </c>
      <c r="M248" s="246"/>
      <c r="N248" s="147">
        <f>IF(L248=0,0%,L248/L$8)</f>
        <v>0</v>
      </c>
      <c r="O248" s="495">
        <f>IF(LEN(R248)&gt;3,1,0)</f>
        <v>0</v>
      </c>
      <c r="P248" s="270">
        <v>0.1</v>
      </c>
      <c r="Q248" s="231" t="str">
        <f>IF('9. Project budget summary'!X39=1,B249,"")</f>
        <v/>
      </c>
      <c r="R248" s="79" t="str">
        <f>IF(AND(R254="NOT",S254="NOT",T254="NOT"),"NOT",D248)</f>
        <v>NOT</v>
      </c>
    </row>
    <row r="249" spans="1:22" s="76" customFormat="1" ht="27" customHeight="1" x14ac:dyDescent="0.2">
      <c r="A249" s="87"/>
      <c r="B249" s="752" t="s">
        <v>643</v>
      </c>
      <c r="C249" s="753"/>
      <c r="D249" s="753"/>
      <c r="E249" s="753"/>
      <c r="F249" s="753"/>
      <c r="G249" s="753"/>
      <c r="H249" s="753"/>
      <c r="I249" s="753"/>
      <c r="J249" s="753"/>
      <c r="K249" s="88"/>
      <c r="L249" s="70"/>
      <c r="M249" s="70"/>
      <c r="N249" s="70"/>
      <c r="O249" s="495">
        <f>IF(LEN(Q248)&gt;3,1,0)</f>
        <v>0</v>
      </c>
      <c r="Q249" s="272"/>
      <c r="V249" s="79"/>
    </row>
    <row r="250" spans="1:22" x14ac:dyDescent="0.2">
      <c r="B250" s="742" t="s">
        <v>197</v>
      </c>
      <c r="C250" s="743"/>
      <c r="D250" s="743"/>
      <c r="E250" s="743"/>
      <c r="F250" s="743"/>
      <c r="H250" s="81"/>
      <c r="J250" s="81"/>
      <c r="K250" s="88"/>
      <c r="L250" s="81"/>
      <c r="N250" s="227"/>
      <c r="R250" s="79" t="str">
        <f>IF(AND(($L248&gt;0),ISBLANK(B252)),B250,"NOT")</f>
        <v>NOT</v>
      </c>
    </row>
    <row r="251" spans="1:22" ht="3" customHeight="1" x14ac:dyDescent="0.2">
      <c r="B251" s="104"/>
      <c r="C251" s="88"/>
      <c r="D251" s="81"/>
      <c r="F251" s="81"/>
      <c r="H251" s="81"/>
      <c r="J251" s="81"/>
      <c r="K251" s="88"/>
      <c r="L251" s="81"/>
      <c r="N251" s="227"/>
    </row>
    <row r="252" spans="1:22" ht="48" customHeight="1" x14ac:dyDescent="0.2">
      <c r="B252" s="744"/>
      <c r="C252" s="745"/>
      <c r="D252" s="745"/>
      <c r="E252" s="745"/>
      <c r="F252" s="745"/>
      <c r="G252" s="745"/>
      <c r="H252" s="745"/>
      <c r="I252" s="745"/>
      <c r="J252" s="745"/>
      <c r="K252" s="745"/>
      <c r="L252" s="746"/>
      <c r="M252" s="70" t="s">
        <v>19</v>
      </c>
      <c r="N252" s="227"/>
    </row>
    <row r="253" spans="1:22" ht="3.75" customHeight="1" x14ac:dyDescent="0.2">
      <c r="B253" s="104"/>
      <c r="C253" s="88"/>
      <c r="D253" s="81"/>
      <c r="F253" s="81"/>
      <c r="H253" s="81"/>
      <c r="J253" s="81"/>
      <c r="K253" s="88"/>
      <c r="L253" s="81"/>
      <c r="N253" s="227"/>
    </row>
    <row r="254" spans="1:22" ht="12.75" customHeight="1" x14ac:dyDescent="0.2">
      <c r="B254" s="244" t="s">
        <v>17</v>
      </c>
      <c r="C254" s="88"/>
      <c r="D254" s="244" t="s">
        <v>580</v>
      </c>
      <c r="F254" s="244" t="s">
        <v>205</v>
      </c>
      <c r="H254" s="244" t="s">
        <v>16</v>
      </c>
      <c r="J254" s="244" t="s">
        <v>15</v>
      </c>
      <c r="K254" s="245"/>
      <c r="L254" s="103" t="s">
        <v>141</v>
      </c>
      <c r="N254" s="81"/>
      <c r="R254" s="255" t="str">
        <f>IF(AND(R255="NOT",R256="NOT",R257="NOT",R258="NOT",R250="NOT"),"NOT",D248)</f>
        <v>NOT</v>
      </c>
      <c r="S254" s="255" t="str">
        <f>IF(AND(S255="NOT",S256="NOT",S257="NOT",S258="NOT",R250="NOT"),"NOT",D248)</f>
        <v>NOT</v>
      </c>
      <c r="T254" s="255" t="str">
        <f>IF(AND(T255="NOT",T256="NOT",T257="NOT",T258="NOT",R250="NOT"),"NOT",D248)</f>
        <v>NOT</v>
      </c>
    </row>
    <row r="255" spans="1:22" x14ac:dyDescent="0.2">
      <c r="B255" s="259"/>
      <c r="C255" s="88"/>
      <c r="D255" s="260"/>
      <c r="E255" s="243"/>
      <c r="F255" s="261"/>
      <c r="G255" s="243"/>
      <c r="H255" s="262"/>
      <c r="I255" s="243"/>
      <c r="J255" s="262"/>
      <c r="K255" s="88"/>
      <c r="L255" s="143">
        <f>TRUNC(H255*J255,2)</f>
        <v>0</v>
      </c>
      <c r="N255" s="81"/>
      <c r="R255" s="79" t="str">
        <f>IF(AND(($L255&gt;0),ISBLANK(B255)),B255,"NOT")</f>
        <v>NOT</v>
      </c>
      <c r="S255" s="79" t="str">
        <f>IF(AND(($L255&gt;0),ISBLANK(D255)),D255,"NOT")</f>
        <v>NOT</v>
      </c>
      <c r="T255" s="79" t="str">
        <f>IF(AND(($L255&gt;0),ISBLANK(F255)),F255,"NOT")</f>
        <v>NOT</v>
      </c>
      <c r="V255" s="79" t="str">
        <f>LEFT(D255,3)</f>
        <v/>
      </c>
    </row>
    <row r="256" spans="1:22" x14ac:dyDescent="0.2">
      <c r="B256" s="259"/>
      <c r="C256" s="88"/>
      <c r="D256" s="260"/>
      <c r="E256" s="243"/>
      <c r="F256" s="261"/>
      <c r="G256" s="243"/>
      <c r="H256" s="262"/>
      <c r="I256" s="243"/>
      <c r="J256" s="262"/>
      <c r="K256" s="88"/>
      <c r="L256" s="143">
        <f>TRUNC(H256*J256,2)</f>
        <v>0</v>
      </c>
      <c r="N256" s="81"/>
      <c r="R256" s="79" t="str">
        <f>IF(AND(($L256&gt;0),ISBLANK(B256)),B256,"NOT")</f>
        <v>NOT</v>
      </c>
      <c r="S256" s="79" t="str">
        <f>IF(AND(($L256&gt;0),ISBLANK(D256)),D256,"NOT")</f>
        <v>NOT</v>
      </c>
      <c r="T256" s="79" t="str">
        <f>IF(AND(($L256&gt;0),ISBLANK(F256)),F256,"NOT")</f>
        <v>NOT</v>
      </c>
      <c r="V256" s="79" t="str">
        <f>LEFT(D256,3)</f>
        <v/>
      </c>
    </row>
    <row r="257" spans="1:22" x14ac:dyDescent="0.2">
      <c r="B257" s="259"/>
      <c r="C257" s="88"/>
      <c r="D257" s="260"/>
      <c r="E257" s="243"/>
      <c r="F257" s="261"/>
      <c r="G257" s="243"/>
      <c r="H257" s="262"/>
      <c r="I257" s="243"/>
      <c r="J257" s="262"/>
      <c r="K257" s="88"/>
      <c r="L257" s="143">
        <f>TRUNC(H257*J257,2)</f>
        <v>0</v>
      </c>
      <c r="N257" s="81"/>
      <c r="R257" s="79" t="str">
        <f>IF(AND(($L257&gt;0),ISBLANK(B257)),B257,"NOT")</f>
        <v>NOT</v>
      </c>
      <c r="S257" s="79" t="str">
        <f>IF(AND(($L257&gt;0),ISBLANK(D257)),D257,"NOT")</f>
        <v>NOT</v>
      </c>
      <c r="T257" s="79" t="str">
        <f>IF(AND(($L257&gt;0),ISBLANK(F257)),F257,"NOT")</f>
        <v>NOT</v>
      </c>
      <c r="V257" s="79" t="str">
        <f>LEFT(D257,3)</f>
        <v/>
      </c>
    </row>
    <row r="258" spans="1:22" x14ac:dyDescent="0.2">
      <c r="B258" s="259"/>
      <c r="C258" s="88"/>
      <c r="D258" s="260"/>
      <c r="E258" s="243"/>
      <c r="F258" s="261"/>
      <c r="G258" s="243"/>
      <c r="H258" s="262"/>
      <c r="I258" s="243"/>
      <c r="J258" s="262"/>
      <c r="K258" s="88"/>
      <c r="L258" s="143">
        <f>TRUNC(H258*J258,2)</f>
        <v>0</v>
      </c>
      <c r="N258" s="81"/>
      <c r="R258" s="79" t="str">
        <f>IF(AND(($L258&gt;0),ISBLANK(B258)),B258,"NOT")</f>
        <v>NOT</v>
      </c>
      <c r="S258" s="79" t="str">
        <f>IF(AND(($L258&gt;0),ISBLANK(D258)),D258,"NOT")</f>
        <v>NOT</v>
      </c>
      <c r="T258" s="79" t="str">
        <f>IF(AND(($L258&gt;0),ISBLANK(F258)),F258,"NOT")</f>
        <v>NOT</v>
      </c>
      <c r="V258" s="79" t="str">
        <f>LEFT(D258,3)</f>
        <v/>
      </c>
    </row>
    <row r="259" spans="1:22" s="76" customFormat="1" ht="12.75" customHeight="1" x14ac:dyDescent="0.2">
      <c r="A259" s="87"/>
      <c r="B259" s="88"/>
      <c r="C259" s="88"/>
      <c r="D259" s="70"/>
      <c r="E259" s="70"/>
      <c r="F259" s="70"/>
      <c r="G259" s="70"/>
      <c r="H259" s="70"/>
      <c r="I259" s="70"/>
      <c r="J259" s="70"/>
      <c r="K259" s="88"/>
      <c r="L259" s="70"/>
      <c r="M259" s="70"/>
      <c r="N259" s="70"/>
      <c r="O259" s="89"/>
      <c r="V259" s="79"/>
    </row>
    <row r="260" spans="1:22" ht="18" customHeight="1" x14ac:dyDescent="0.2">
      <c r="A260" s="263"/>
      <c r="B260" s="264"/>
      <c r="C260" s="265"/>
      <c r="D260" s="266"/>
      <c r="E260" s="267"/>
      <c r="F260" s="266"/>
      <c r="G260" s="267"/>
      <c r="H260" s="266"/>
      <c r="I260" s="267"/>
      <c r="J260" s="266"/>
      <c r="K260" s="265"/>
      <c r="L260" s="266"/>
      <c r="M260" s="267"/>
      <c r="N260" s="268"/>
    </row>
    <row r="261" spans="1:22" hidden="1" x14ac:dyDescent="0.2"/>
    <row r="262" spans="1:22" ht="25.5" hidden="1" x14ac:dyDescent="0.2">
      <c r="C262" s="44" t="str">
        <f>LEFT(D262,3)</f>
        <v xml:space="preserve">1. </v>
      </c>
      <c r="D262" s="465" t="str">
        <f>CONCATENATE('6. Project Activities'!A10," ",'6. Project Activities'!B10)</f>
        <v>1. Project administration and management</v>
      </c>
      <c r="L262" s="44">
        <f t="shared" ref="L262:L285" si="48">SUMIF($V$11:$V$259,C262,$L$11:$L$259)</f>
        <v>16845</v>
      </c>
    </row>
    <row r="263" spans="1:22" hidden="1" x14ac:dyDescent="0.2">
      <c r="C263" s="44" t="str">
        <f t="shared" ref="C263:C285" si="49">LEFT(D263,3)</f>
        <v xml:space="preserve">2. </v>
      </c>
      <c r="D263" s="465" t="str">
        <f>CONCATENATE('6. Project Activities'!A11," ",'6. Project Activities'!B11)</f>
        <v>2. Information and publicity</v>
      </c>
      <c r="L263" s="44">
        <f t="shared" si="48"/>
        <v>23000</v>
      </c>
    </row>
    <row r="264" spans="1:22" ht="38.25" hidden="1" x14ac:dyDescent="0.2">
      <c r="C264" s="44" t="str">
        <f t="shared" si="49"/>
        <v xml:space="preserve">3. </v>
      </c>
      <c r="D264" s="465" t="str">
        <f>CONCATENATE('6. Project Activities'!A12," ",'6. Project Activities'!B12)</f>
        <v>3. Activity 3.1: Organisation of project conferences and regular press conferences</v>
      </c>
      <c r="L264" s="44">
        <f t="shared" si="48"/>
        <v>3050</v>
      </c>
    </row>
    <row r="265" spans="1:22" ht="38.25" hidden="1" x14ac:dyDescent="0.2">
      <c r="C265" s="44" t="str">
        <f t="shared" si="49"/>
        <v xml:space="preserve">4. </v>
      </c>
      <c r="D265" s="465" t="str">
        <f>CONCATENATE('6. Project Activities'!A13," ",'6. Project Activities'!B13)</f>
        <v>4. Activity 3.2: Creation and regular updating of project website, project presence in Social media</v>
      </c>
      <c r="L265" s="44">
        <f t="shared" si="48"/>
        <v>0</v>
      </c>
    </row>
    <row r="266" spans="1:22" ht="25.5" hidden="1" x14ac:dyDescent="0.2">
      <c r="C266" s="44" t="str">
        <f t="shared" si="49"/>
        <v xml:space="preserve">5. </v>
      </c>
      <c r="D266" s="465" t="str">
        <f>CONCATENATE('6. Project Activities'!A14," ",'6. Project Activities'!B14)</f>
        <v>5. Activity 3.3: Development of multilingual mobile App</v>
      </c>
      <c r="L266" s="44">
        <f t="shared" si="48"/>
        <v>22500</v>
      </c>
    </row>
    <row r="267" spans="1:22" ht="38.25" hidden="1" x14ac:dyDescent="0.2">
      <c r="C267" s="44" t="str">
        <f t="shared" si="49"/>
        <v xml:space="preserve">6. </v>
      </c>
      <c r="D267" s="465" t="str">
        <f>CONCATENATE('6. Project Activities'!A15," ",'6. Project Activities'!B15)</f>
        <v>6. Activity 3.4: Organisation of local and cross-border events for cyclists</v>
      </c>
      <c r="L267" s="44">
        <f t="shared" si="48"/>
        <v>10000</v>
      </c>
    </row>
    <row r="268" spans="1:22" ht="38.25" hidden="1" x14ac:dyDescent="0.2">
      <c r="C268" s="44" t="str">
        <f t="shared" si="49"/>
        <v xml:space="preserve">7. </v>
      </c>
      <c r="D268" s="465" t="str">
        <f>CONCATENATE('6. Project Activities'!A16," ",'6. Project Activities'!B16)</f>
        <v>7. Activity 3.5: Organisation of Summer Cycling Camp for primary school kids in Croatia</v>
      </c>
      <c r="L268" s="44">
        <f t="shared" si="48"/>
        <v>15000</v>
      </c>
    </row>
    <row r="269" spans="1:22" ht="38.25" hidden="1" x14ac:dyDescent="0.2">
      <c r="C269" s="44" t="str">
        <f t="shared" si="49"/>
        <v xml:space="preserve">8. </v>
      </c>
      <c r="D269" s="465" t="str">
        <f>CONCATENATE('6. Project Activities'!A17," ",'6. Project Activities'!B17)</f>
        <v>8. Activity 3.6: Organisation of “Safety in traffic for cyclists” workshops</v>
      </c>
      <c r="L269" s="44">
        <f t="shared" si="48"/>
        <v>5000</v>
      </c>
    </row>
    <row r="270" spans="1:22" ht="38.25" hidden="1" x14ac:dyDescent="0.2">
      <c r="C270" s="44" t="str">
        <f t="shared" si="49"/>
        <v xml:space="preserve">9. </v>
      </c>
      <c r="D270" s="465" t="str">
        <f>CONCATENATE('6. Project Activities'!A18," ",'6. Project Activities'!B18)</f>
        <v>9. Activity 4.1: Development of missing sections of the bicycle routes in Ludbreg area</v>
      </c>
      <c r="L270" s="44">
        <f t="shared" si="48"/>
        <v>0</v>
      </c>
    </row>
    <row r="271" spans="1:22" ht="38.25" hidden="1" x14ac:dyDescent="0.2">
      <c r="C271" s="44" t="str">
        <f t="shared" si="49"/>
        <v>10.</v>
      </c>
      <c r="D271" s="465" t="str">
        <f>CONCATENATE('6. Project Activities'!A19," ",'6. Project Activities'!B19)</f>
        <v>10. Activity 4.2: Adaptation and arrangement of the part of a local road Ludbreg</v>
      </c>
      <c r="L271" s="44">
        <f t="shared" si="48"/>
        <v>0</v>
      </c>
    </row>
    <row r="272" spans="1:22" ht="25.5" hidden="1" x14ac:dyDescent="0.2">
      <c r="C272" s="44" t="str">
        <f t="shared" si="49"/>
        <v>11.</v>
      </c>
      <c r="D272" s="465" t="str">
        <f>CONCATENATE('6. Project Activities'!A20," ",'6. Project Activities'!B20)</f>
        <v>11. Activity 4.3: Establishment of Cyclist Centre in Letenye</v>
      </c>
      <c r="L272" s="44">
        <f t="shared" si="48"/>
        <v>0</v>
      </c>
    </row>
    <row r="273" spans="3:12" ht="51" hidden="1" x14ac:dyDescent="0.2">
      <c r="C273" s="44" t="str">
        <f t="shared" si="49"/>
        <v>12.</v>
      </c>
      <c r="D273" s="465" t="str">
        <f>CONCATENATE('6. Project Activities'!A21," ",'6. Project Activities'!B21)</f>
        <v>12. Activity 4.4: Preparation of technical documentation for obtaining a building permit for bike paths" - Draškovec Oporovec</v>
      </c>
      <c r="L273" s="44">
        <f t="shared" si="48"/>
        <v>23900</v>
      </c>
    </row>
    <row r="274" spans="3:12" ht="38.25" hidden="1" x14ac:dyDescent="0.2">
      <c r="C274" s="44" t="str">
        <f t="shared" si="49"/>
        <v>13.</v>
      </c>
      <c r="D274" s="465" t="str">
        <f>CONCATENATE('6. Project Activities'!A22," ",'6. Project Activities'!B22)</f>
        <v>13. Activity 4.5: Adaptation/reconstruction of the restplace for cyclist in Oporovec</v>
      </c>
      <c r="L274" s="44">
        <f t="shared" si="48"/>
        <v>99300</v>
      </c>
    </row>
    <row r="275" spans="3:12" ht="51" hidden="1" x14ac:dyDescent="0.2">
      <c r="C275" s="44" t="str">
        <f t="shared" si="49"/>
        <v>14.</v>
      </c>
      <c r="D275" s="465" t="str">
        <f>CONCATENATE('6. Project Activities'!A23," ",'6. Project Activities'!B23)</f>
        <v>14. Activity 4.6: Establishment of restplaces, info points and installation of information boards alongside the bicycle routes</v>
      </c>
      <c r="L275" s="44">
        <f t="shared" si="48"/>
        <v>55460</v>
      </c>
    </row>
    <row r="276" spans="3:12" hidden="1" x14ac:dyDescent="0.2">
      <c r="C276" s="44" t="str">
        <f t="shared" si="49"/>
        <v>15.</v>
      </c>
      <c r="D276" s="465" t="str">
        <f>CONCATENATE('6. Project Activities'!A24," ",'6. Project Activities'!B24)</f>
        <v xml:space="preserve">15. </v>
      </c>
      <c r="L276" s="44">
        <f t="shared" si="48"/>
        <v>0</v>
      </c>
    </row>
    <row r="277" spans="3:12" hidden="1" x14ac:dyDescent="0.2">
      <c r="C277" s="44" t="str">
        <f t="shared" si="49"/>
        <v>16.</v>
      </c>
      <c r="D277" s="465" t="str">
        <f>CONCATENATE('6. Project Activities'!A25," ",'6. Project Activities'!B25)</f>
        <v xml:space="preserve">16. </v>
      </c>
      <c r="L277" s="44">
        <f t="shared" si="48"/>
        <v>0</v>
      </c>
    </row>
    <row r="278" spans="3:12" hidden="1" x14ac:dyDescent="0.2">
      <c r="C278" s="44" t="str">
        <f t="shared" si="49"/>
        <v>17.</v>
      </c>
      <c r="D278" s="465" t="str">
        <f>CONCATENATE('6. Project Activities'!A26," ",'6. Project Activities'!B26)</f>
        <v xml:space="preserve">17. </v>
      </c>
      <c r="L278" s="44">
        <f t="shared" si="48"/>
        <v>0</v>
      </c>
    </row>
    <row r="279" spans="3:12" hidden="1" x14ac:dyDescent="0.2">
      <c r="C279" s="44" t="str">
        <f t="shared" si="49"/>
        <v>18.</v>
      </c>
      <c r="D279" s="465" t="str">
        <f>CONCATENATE('6. Project Activities'!A27," ",'6. Project Activities'!B27)</f>
        <v xml:space="preserve">18. </v>
      </c>
      <c r="L279" s="44">
        <f t="shared" si="48"/>
        <v>0</v>
      </c>
    </row>
    <row r="280" spans="3:12" hidden="1" x14ac:dyDescent="0.2">
      <c r="C280" s="44" t="str">
        <f t="shared" si="49"/>
        <v>19.</v>
      </c>
      <c r="D280" s="465" t="str">
        <f>CONCATENATE('6. Project Activities'!A28," ",'6. Project Activities'!B28)</f>
        <v xml:space="preserve">19. </v>
      </c>
      <c r="L280" s="44">
        <f t="shared" si="48"/>
        <v>0</v>
      </c>
    </row>
    <row r="281" spans="3:12" hidden="1" x14ac:dyDescent="0.2">
      <c r="C281" s="44" t="str">
        <f t="shared" si="49"/>
        <v>20.</v>
      </c>
      <c r="D281" s="465" t="str">
        <f>CONCATENATE('6. Project Activities'!A29," ",'6. Project Activities'!B29)</f>
        <v xml:space="preserve">20. </v>
      </c>
      <c r="L281" s="44">
        <f t="shared" si="48"/>
        <v>0</v>
      </c>
    </row>
    <row r="282" spans="3:12" hidden="1" x14ac:dyDescent="0.2">
      <c r="C282" s="44" t="str">
        <f t="shared" si="49"/>
        <v>21.</v>
      </c>
      <c r="D282" s="465" t="str">
        <f>CONCATENATE('6. Project Activities'!A30," ",'6. Project Activities'!B30)</f>
        <v xml:space="preserve">21. </v>
      </c>
      <c r="L282" s="44">
        <f t="shared" si="48"/>
        <v>0</v>
      </c>
    </row>
    <row r="283" spans="3:12" hidden="1" x14ac:dyDescent="0.2">
      <c r="C283" s="44" t="str">
        <f t="shared" si="49"/>
        <v>22.</v>
      </c>
      <c r="D283" s="465" t="str">
        <f>CONCATENATE('6. Project Activities'!A31," ",'6. Project Activities'!B31)</f>
        <v xml:space="preserve">22. </v>
      </c>
      <c r="L283" s="44">
        <f t="shared" si="48"/>
        <v>0</v>
      </c>
    </row>
    <row r="284" spans="3:12" hidden="1" x14ac:dyDescent="0.2">
      <c r="C284" s="44" t="str">
        <f t="shared" si="49"/>
        <v>23.</v>
      </c>
      <c r="D284" s="465" t="str">
        <f>CONCATENATE('6. Project Activities'!A32," ",'6. Project Activities'!B32)</f>
        <v xml:space="preserve">23. </v>
      </c>
      <c r="L284" s="44">
        <f t="shared" si="48"/>
        <v>0</v>
      </c>
    </row>
    <row r="285" spans="3:12" hidden="1" x14ac:dyDescent="0.2">
      <c r="C285" s="44" t="str">
        <f t="shared" si="49"/>
        <v>24.</v>
      </c>
      <c r="D285" s="465" t="str">
        <f>CONCATENATE('6. Project Activities'!A33," ",'6. Project Activities'!B33)</f>
        <v xml:space="preserve">24. </v>
      </c>
      <c r="L285" s="44">
        <f t="shared" si="48"/>
        <v>0</v>
      </c>
    </row>
    <row r="286" spans="3:12" x14ac:dyDescent="0.2">
      <c r="C286" s="44"/>
    </row>
    <row r="287" spans="3:12" x14ac:dyDescent="0.2">
      <c r="C287" s="44"/>
    </row>
    <row r="288" spans="3:12" x14ac:dyDescent="0.2">
      <c r="C288" s="44"/>
    </row>
    <row r="289" spans="3:3" x14ac:dyDescent="0.2">
      <c r="C289" s="44"/>
    </row>
    <row r="290" spans="3:3" x14ac:dyDescent="0.2">
      <c r="C290" s="44"/>
    </row>
    <row r="291" spans="3:3" x14ac:dyDescent="0.2">
      <c r="C291" s="44"/>
    </row>
  </sheetData>
  <sheetProtection password="F58B" sheet="1" objects="1" scenarios="1" formatCells="0" selectLockedCells="1"/>
  <mergeCells count="60">
    <mergeCell ref="B17:L17"/>
    <mergeCell ref="D62:H62"/>
    <mergeCell ref="B48:L48"/>
    <mergeCell ref="B18:F18"/>
    <mergeCell ref="B20:L20"/>
    <mergeCell ref="D40:H40"/>
    <mergeCell ref="D42:H42"/>
    <mergeCell ref="D44:H44"/>
    <mergeCell ref="B46:F46"/>
    <mergeCell ref="A1:B1"/>
    <mergeCell ref="D1:N1"/>
    <mergeCell ref="D14:H14"/>
    <mergeCell ref="B15:L15"/>
    <mergeCell ref="D16:H16"/>
    <mergeCell ref="D3:N3"/>
    <mergeCell ref="D5:N5"/>
    <mergeCell ref="D8:H8"/>
    <mergeCell ref="D10:H10"/>
    <mergeCell ref="D12:H12"/>
    <mergeCell ref="D99:H99"/>
    <mergeCell ref="D80:H80"/>
    <mergeCell ref="B82:F82"/>
    <mergeCell ref="B84:L84"/>
    <mergeCell ref="B64:F64"/>
    <mergeCell ref="B66:L66"/>
    <mergeCell ref="D101:H101"/>
    <mergeCell ref="B103:F103"/>
    <mergeCell ref="B105:L105"/>
    <mergeCell ref="D112:H112"/>
    <mergeCell ref="B114:F114"/>
    <mergeCell ref="B116:L116"/>
    <mergeCell ref="D130:H130"/>
    <mergeCell ref="B132:F132"/>
    <mergeCell ref="B134:L134"/>
    <mergeCell ref="D148:H148"/>
    <mergeCell ref="B149:L149"/>
    <mergeCell ref="B150:F150"/>
    <mergeCell ref="B152:L152"/>
    <mergeCell ref="D162:H162"/>
    <mergeCell ref="B164:F164"/>
    <mergeCell ref="B166:L166"/>
    <mergeCell ref="D174:H174"/>
    <mergeCell ref="B176:F176"/>
    <mergeCell ref="B232:F232"/>
    <mergeCell ref="B178:L178"/>
    <mergeCell ref="D192:H192"/>
    <mergeCell ref="B194:F194"/>
    <mergeCell ref="B196:L196"/>
    <mergeCell ref="D206:H206"/>
    <mergeCell ref="D208:H208"/>
    <mergeCell ref="B210:F210"/>
    <mergeCell ref="B212:L212"/>
    <mergeCell ref="D226:H226"/>
    <mergeCell ref="F228:H228"/>
    <mergeCell ref="D230:H230"/>
    <mergeCell ref="B234:L234"/>
    <mergeCell ref="D248:H248"/>
    <mergeCell ref="B249:J249"/>
    <mergeCell ref="B250:F250"/>
    <mergeCell ref="B252:L252"/>
  </mergeCells>
  <phoneticPr fontId="3" type="noConversion"/>
  <conditionalFormatting sqref="D16:H16 B18:F18 D62:H62 D44:H44 B64:F64 B46:F46 D80:H80 B82:F82 D112:H112 D101:H101 B114:F114 B103:F103 D130:H130 B132:F132 D148:H148 B150:F150 D162:H162 B164:F164 D174:H174 D192:H192 D208:H208 B210:F210 D248:H248 D230:H230 B250:F250 B232:F232">
    <cfRule type="cellIs" dxfId="222" priority="12" stopIfTrue="1" operator="equal">
      <formula>$R16</formula>
    </cfRule>
  </conditionalFormatting>
  <conditionalFormatting sqref="D12:H12 D99:H99 D228:E228">
    <cfRule type="cellIs" dxfId="221" priority="13" stopIfTrue="1" operator="equal">
      <formula>$Q12</formula>
    </cfRule>
  </conditionalFormatting>
  <conditionalFormatting sqref="B149:L149">
    <cfRule type="cellIs" dxfId="220" priority="16" stopIfTrue="1" operator="equal">
      <formula>$Q$149</formula>
    </cfRule>
  </conditionalFormatting>
  <conditionalFormatting sqref="B17:L17">
    <cfRule type="cellIs" dxfId="219" priority="17" stopIfTrue="1" operator="equal">
      <formula>$Q$17</formula>
    </cfRule>
  </conditionalFormatting>
  <conditionalFormatting sqref="F228:H228">
    <cfRule type="cellIs" dxfId="218" priority="22" stopIfTrue="1" operator="equal">
      <formula>$R$228</formula>
    </cfRule>
  </conditionalFormatting>
  <conditionalFormatting sqref="D206:H206">
    <cfRule type="cellIs" dxfId="217" priority="23" stopIfTrue="1" operator="equal">
      <formula>$Q$206</formula>
    </cfRule>
  </conditionalFormatting>
  <conditionalFormatting sqref="D14:H14">
    <cfRule type="cellIs" dxfId="216" priority="11" stopIfTrue="1" operator="equal">
      <formula>$Q14</formula>
    </cfRule>
  </conditionalFormatting>
  <conditionalFormatting sqref="D42:H42">
    <cfRule type="cellIs" dxfId="215" priority="7" stopIfTrue="1" operator="equal">
      <formula>$Q42</formula>
    </cfRule>
  </conditionalFormatting>
  <conditionalFormatting sqref="B15:L15">
    <cfRule type="cellIs" dxfId="214" priority="6" stopIfTrue="1" operator="equal">
      <formula>$P$15</formula>
    </cfRule>
  </conditionalFormatting>
  <conditionalFormatting sqref="B249:J249">
    <cfRule type="cellIs" dxfId="213" priority="5" stopIfTrue="1" operator="equal">
      <formula>$Q$248</formula>
    </cfRule>
  </conditionalFormatting>
  <conditionalFormatting sqref="B176:F176">
    <cfRule type="cellIs" dxfId="212" priority="2" stopIfTrue="1" operator="equal">
      <formula>$R176</formula>
    </cfRule>
  </conditionalFormatting>
  <conditionalFormatting sqref="B194:F194">
    <cfRule type="cellIs" dxfId="211" priority="3" stopIfTrue="1" operator="equal">
      <formula>$R194</formula>
    </cfRule>
  </conditionalFormatting>
  <conditionalFormatting sqref="D8:H8">
    <cfRule type="cellIs" dxfId="210" priority="1" stopIfTrue="1" operator="equal">
      <formula>O$8</formula>
    </cfRule>
  </conditionalFormatting>
  <dataValidations count="5">
    <dataValidation type="list" allowBlank="1" showInputMessage="1" showErrorMessage="1" sqref="D14:H14">
      <formula1>$V$14:$V$16</formula1>
    </dataValidation>
    <dataValidation type="decimal" operator="greaterThanOrEqual" allowBlank="1" showInputMessage="1" showErrorMessage="1" sqref="H237:H246 H199:H203 J169:J172 H169:H172 J155:J160 H137:H146 H108:H110 J108:J110 H87:H96 J87:J96 H69:H78 J69:J78 H51:H60 J51:J60 J23:J37 H23:H37 J137:J146 H119:H128 H155:H160 J119:J128 H181:H190 J181:J190 H215:H224 J215:J224 J199:J203 J237:J246 H255:H258 J255:J258">
      <formula1>0</formula1>
    </dataValidation>
    <dataValidation type="list" allowBlank="1" showInputMessage="1" showErrorMessage="1" sqref="D199:D203 D255:D258 D237:D246 D215:D224 D108:D110 D87:D96 D69:D78 D23:D37 D51:D60 D119:D128 D137:D146 D155:D160 D169:D172 D181:D190">
      <formula1>$D$262:$D$285</formula1>
    </dataValidation>
    <dataValidation type="decimal" allowBlank="1" showInputMessage="1" showErrorMessage="1" sqref="L260 D260 H260 J260 F260 L230 L232:L233 D233 F233 F235 L235 D235 J235 H232:H233 L247:L248 D247 L250:L251 F247 J247 H247 D251 H235 J232:J233 N236:N246 F251 F253 L253 D253 J253 H250:H251 H253 J250:J251 F227 D227 H227 J227 L194:L195 D195 F195 F197 L197 D197 J197 H194:H195 H197 J194:J195 N198:N203 H191 J191 F191 L191:L192 D191 L164:L165 D165 F165 F167 L167 D167 J167 H164:H165 H167 J164:J165 N168:N172 N154:N160 L111:L112 D111 L114:L115 F111 J111 H111 D115 F115 F117 L117 D117 J117 H114:H115 H117 J114:J115 N118:N128 L130 L132:L133 D133 F133 F135 L135 D135 J135 H132:H133 H135 J132:J133 N107:N110 J103:J104 H106 H103:H104 J106 D106 L106 F106 F104 D104 L103:L104 L101 D97:D98 H97:H98 J97:J98 F97:F98 L97:L98 J82:J83 H85 H82:H83 J85 D85 L85 F85 F83 D83 L82:L83 L80 N68:N78 J64:J65 H67 H64:H65 J67 D67 L67 F67 F65 N50:N60 J46:J47 H49 D65 H61 J61 F61 L64:L65 D61 L61:L62 H46:H47 J49 D49 L49 F49 F47 D47 L46:L47 L44 N86:N96 D41 H41 J41 F41 N254:N258 L16 H18:H19 D11 H11 J11 F11 L11 D19 L18:L19 H21 J18:J19 J21 D21 L21 F21 N136:N146 J150:J151 H153 H150:H151 J153 D153 L153 F153 F151 D151 L150:L151 L148 F19 J176:J177 H179 H176:H177 J179 D179 L179 F179 F177 D177 L176:L177 L174 N180:N190 H204:H205 D204:D205 L204:L205 F204:F205 J204:J205 N214:N224 J210:J211 H213 H225 J225 F225 D225 L225:L227 H210:H211 J213 D213 L213 F213 F211 D211 L210:L211 L208 N22:N37 F38:F39 J38:J39 H38:H39 D38:D39 L38:L39 L41 L162 L14">
      <formula1>0</formula1>
      <formula2>99999999.99</formula2>
    </dataValidation>
    <dataValidation type="whole" allowBlank="1" showInputMessage="1" showErrorMessage="1" sqref="L10">
      <formula1>0</formula1>
      <formula2>3000</formula2>
    </dataValidation>
  </dataValidations>
  <pageMargins left="0.6692913385826772" right="0.15748031496062992" top="0.31496062992125984" bottom="0.31496062992125984" header="0.15748031496062992" footer="0.11811023622047245"/>
  <pageSetup scale="82" fitToHeight="12" orientation="landscape"/>
  <headerFooter>
    <oddFooter xml:space="preserve">&amp;C&amp;"Arial,Italic"&amp;A&amp;R&amp;"Arial,Italic"Page &amp;P of &amp;N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1"/>
  <sheetViews>
    <sheetView topLeftCell="A181" zoomScale="80" zoomScaleNormal="80" zoomScalePageLayoutView="70" workbookViewId="0">
      <selection activeCell="B181" sqref="B181"/>
    </sheetView>
  </sheetViews>
  <sheetFormatPr defaultColWidth="9.140625" defaultRowHeight="12.75" x14ac:dyDescent="0.2"/>
  <cols>
    <col min="1" max="1" width="2.85546875" style="80" customWidth="1"/>
    <col min="2" max="2" width="45.7109375" style="44" customWidth="1"/>
    <col min="3" max="3" width="0.42578125" style="70" customWidth="1"/>
    <col min="4" max="4" width="30.7109375" style="44" customWidth="1"/>
    <col min="5" max="5" width="0.42578125" style="70" customWidth="1"/>
    <col min="6" max="6" width="16.42578125" style="44" customWidth="1"/>
    <col min="7" max="7" width="0.42578125" style="70" customWidth="1"/>
    <col min="8" max="8" width="10.7109375" style="44" customWidth="1"/>
    <col min="9" max="9" width="0.42578125" style="70" customWidth="1"/>
    <col min="10" max="10" width="15" style="44" customWidth="1"/>
    <col min="11" max="11" width="0.42578125" style="70" customWidth="1"/>
    <col min="12" max="12" width="13.7109375" style="44" customWidth="1"/>
    <col min="13" max="13" width="0.42578125" style="70" customWidth="1"/>
    <col min="14" max="14" width="9" style="44" customWidth="1"/>
    <col min="15" max="15" width="34.28515625" style="85" hidden="1" customWidth="1"/>
    <col min="16" max="16" width="9.140625" style="79" hidden="1" customWidth="1"/>
    <col min="17" max="17" width="15.42578125" style="79" hidden="1" customWidth="1"/>
    <col min="18" max="22" width="9.140625" style="79" hidden="1" customWidth="1"/>
    <col min="23" max="16384" width="9.140625" style="79"/>
  </cols>
  <sheetData>
    <row r="1" spans="1:29" ht="22.5" customHeight="1" x14ac:dyDescent="0.2">
      <c r="A1" s="738" t="s">
        <v>333</v>
      </c>
      <c r="B1" s="739"/>
      <c r="C1" s="256"/>
      <c r="D1" s="740" t="str">
        <f>CONCATENATE("B2 - ",P5)</f>
        <v>B2 - Grad Ludbreg</v>
      </c>
      <c r="E1" s="741"/>
      <c r="F1" s="741"/>
      <c r="G1" s="741"/>
      <c r="H1" s="741"/>
      <c r="I1" s="741"/>
      <c r="J1" s="741"/>
      <c r="K1" s="741"/>
      <c r="L1" s="741"/>
      <c r="M1" s="741"/>
      <c r="N1" s="741"/>
      <c r="R1" s="79" t="s">
        <v>167</v>
      </c>
      <c r="S1" s="79" t="s">
        <v>167</v>
      </c>
      <c r="T1" s="79" t="s">
        <v>167</v>
      </c>
    </row>
    <row r="2" spans="1:29" x14ac:dyDescent="0.2">
      <c r="C2" s="44"/>
      <c r="E2" s="44"/>
      <c r="G2" s="44"/>
      <c r="I2" s="44"/>
      <c r="K2" s="44"/>
      <c r="M2" s="44"/>
      <c r="O2" s="44"/>
      <c r="P2" s="44"/>
      <c r="Q2" s="44"/>
      <c r="R2" s="44"/>
      <c r="S2" s="44"/>
      <c r="T2" s="44"/>
      <c r="U2" s="44"/>
      <c r="V2" s="44"/>
      <c r="W2" s="44"/>
      <c r="X2" s="44"/>
      <c r="Y2" s="44"/>
      <c r="Z2" s="44"/>
      <c r="AA2" s="44"/>
      <c r="AB2" s="44"/>
      <c r="AC2" s="44"/>
    </row>
    <row r="3" spans="1:29" x14ac:dyDescent="0.2">
      <c r="B3" s="101" t="s">
        <v>139</v>
      </c>
      <c r="C3" s="44"/>
      <c r="D3" s="712" t="str">
        <f>T('1. General Data'!C14:M14)</f>
        <v>Happy Bike</v>
      </c>
      <c r="E3" s="713"/>
      <c r="F3" s="713"/>
      <c r="G3" s="713"/>
      <c r="H3" s="713"/>
      <c r="I3" s="713"/>
      <c r="J3" s="713"/>
      <c r="K3" s="713"/>
      <c r="L3" s="713"/>
      <c r="M3" s="713"/>
      <c r="N3" s="714"/>
      <c r="O3" s="44"/>
      <c r="P3" s="44"/>
      <c r="Q3" s="44"/>
      <c r="R3" s="44"/>
      <c r="S3" s="44"/>
      <c r="T3" s="44"/>
      <c r="U3" s="44"/>
      <c r="V3" s="44"/>
      <c r="W3" s="44"/>
      <c r="X3" s="44"/>
      <c r="Y3" s="44"/>
      <c r="Z3" s="44"/>
      <c r="AA3" s="44"/>
      <c r="AB3" s="44"/>
      <c r="AC3" s="44"/>
    </row>
    <row r="4" spans="1:29" ht="6" customHeight="1" x14ac:dyDescent="0.2">
      <c r="C4" s="44"/>
      <c r="E4" s="44"/>
      <c r="G4" s="44"/>
      <c r="I4" s="44"/>
      <c r="K4" s="44"/>
      <c r="M4" s="44"/>
      <c r="O4" s="44"/>
      <c r="P4" s="44"/>
      <c r="Q4" s="44"/>
      <c r="R4" s="44"/>
      <c r="S4" s="44"/>
      <c r="T4" s="44"/>
      <c r="U4" s="44"/>
      <c r="V4" s="44"/>
      <c r="W4" s="44"/>
      <c r="X4" s="44"/>
      <c r="Y4" s="44"/>
      <c r="Z4" s="44"/>
      <c r="AA4" s="44"/>
      <c r="AB4" s="44"/>
      <c r="AC4" s="44"/>
    </row>
    <row r="5" spans="1:29" x14ac:dyDescent="0.2">
      <c r="B5" s="101" t="s">
        <v>138</v>
      </c>
      <c r="C5" s="44"/>
      <c r="D5" s="712" t="str">
        <f>T(LEFT('2. LB data'!C5,80))</f>
        <v>Letenye Város Önkormányzata</v>
      </c>
      <c r="E5" s="713"/>
      <c r="F5" s="713"/>
      <c r="G5" s="713"/>
      <c r="H5" s="713"/>
      <c r="I5" s="713"/>
      <c r="J5" s="713"/>
      <c r="K5" s="713"/>
      <c r="L5" s="713"/>
      <c r="M5" s="713"/>
      <c r="N5" s="714"/>
      <c r="O5" s="44"/>
      <c r="P5" s="236" t="str">
        <f>LEFT('2. B2 data'!C5,80)</f>
        <v>Grad Ludbreg</v>
      </c>
      <c r="Q5" s="44"/>
      <c r="R5" s="44"/>
      <c r="S5" s="44"/>
      <c r="T5" s="44"/>
      <c r="U5" s="44"/>
      <c r="V5" s="44"/>
      <c r="W5" s="44"/>
      <c r="X5" s="44"/>
      <c r="Y5" s="44"/>
      <c r="Z5" s="44"/>
      <c r="AA5" s="44"/>
      <c r="AB5" s="44"/>
      <c r="AC5" s="44"/>
    </row>
    <row r="6" spans="1:29" x14ac:dyDescent="0.2">
      <c r="B6" s="152"/>
      <c r="D6" s="152"/>
      <c r="F6" s="152"/>
      <c r="H6" s="152"/>
      <c r="J6" s="152"/>
      <c r="L6" s="152"/>
    </row>
    <row r="7" spans="1:29" x14ac:dyDescent="0.2">
      <c r="B7" s="152"/>
      <c r="D7" s="152"/>
      <c r="F7" s="152"/>
      <c r="H7" s="152"/>
      <c r="J7" s="152"/>
      <c r="L7" s="152"/>
    </row>
    <row r="8" spans="1:29" ht="28.5" customHeight="1" x14ac:dyDescent="0.2">
      <c r="A8" s="269" t="s">
        <v>30</v>
      </c>
      <c r="B8" s="289" t="s">
        <v>39</v>
      </c>
      <c r="C8" s="281"/>
      <c r="D8" s="767" t="s">
        <v>652</v>
      </c>
      <c r="E8" s="768"/>
      <c r="F8" s="768"/>
      <c r="G8" s="768"/>
      <c r="H8" s="769"/>
      <c r="I8" s="281"/>
      <c r="J8" s="289" t="s">
        <v>18</v>
      </c>
      <c r="K8" s="282"/>
      <c r="L8" s="284">
        <f>L10+L12+L40+L42+L99+L206+L228</f>
        <v>145598.5</v>
      </c>
      <c r="M8" s="283"/>
      <c r="N8" s="290">
        <f>IF(L$8=0,0%,L8/L$8)</f>
        <v>1</v>
      </c>
      <c r="O8" s="85">
        <f>IF(O10&gt;0,D8,0)</f>
        <v>0</v>
      </c>
      <c r="P8" s="231"/>
      <c r="Q8" s="231" t="str">
        <f>IF(AND(Q10=P8,Q17=P8,Q149=P8,Q248=P8)," ",D8)</f>
        <v xml:space="preserve"> </v>
      </c>
    </row>
    <row r="9" spans="1:29" s="76" customFormat="1" ht="3" customHeight="1" x14ac:dyDescent="0.2">
      <c r="A9" s="87"/>
      <c r="B9" s="88"/>
      <c r="C9" s="88"/>
      <c r="D9" s="70"/>
      <c r="E9" s="70"/>
      <c r="F9" s="70"/>
      <c r="G9" s="70"/>
      <c r="H9" s="70"/>
      <c r="I9" s="70"/>
      <c r="J9" s="70"/>
      <c r="K9" s="88"/>
      <c r="L9" s="281"/>
      <c r="M9" s="70"/>
      <c r="N9" s="70"/>
      <c r="O9" s="89"/>
    </row>
    <row r="10" spans="1:29" ht="27" customHeight="1" x14ac:dyDescent="0.2">
      <c r="A10" s="247">
        <v>1</v>
      </c>
      <c r="B10" s="248" t="s">
        <v>60</v>
      </c>
      <c r="C10" s="249"/>
      <c r="D10" s="764" t="s">
        <v>280</v>
      </c>
      <c r="E10" s="765"/>
      <c r="F10" s="765"/>
      <c r="G10" s="765"/>
      <c r="H10" s="766"/>
      <c r="I10" s="250"/>
      <c r="J10" s="251" t="s">
        <v>18</v>
      </c>
      <c r="K10" s="249"/>
      <c r="L10" s="357">
        <v>0</v>
      </c>
      <c r="M10" s="287"/>
      <c r="N10" s="288">
        <f>IF(L10=0,0%,L10/L$8)</f>
        <v>0</v>
      </c>
      <c r="O10" s="497">
        <f>SUM(O11:O260)</f>
        <v>0</v>
      </c>
      <c r="P10" s="231"/>
      <c r="Q10" s="231" t="str">
        <f>IF(N10&gt;P10,D10,"")</f>
        <v/>
      </c>
    </row>
    <row r="11" spans="1:29" x14ac:dyDescent="0.2">
      <c r="B11" s="104"/>
      <c r="C11" s="88"/>
      <c r="D11" s="81"/>
      <c r="F11" s="81"/>
      <c r="H11" s="81"/>
      <c r="J11" s="81"/>
      <c r="K11" s="88"/>
      <c r="L11" s="81"/>
      <c r="N11" s="227"/>
    </row>
    <row r="12" spans="1:29" ht="27" customHeight="1" x14ac:dyDescent="0.2">
      <c r="A12" s="247">
        <v>2</v>
      </c>
      <c r="B12" s="248" t="s">
        <v>285</v>
      </c>
      <c r="C12" s="249"/>
      <c r="D12" s="770" t="str">
        <f>IF(AND(L14&gt;0,L16&gt;0),"Calculation of staff costs should be either on flat rate or on real cost basis (both options cannot be used together)!"," ")</f>
        <v xml:space="preserve"> </v>
      </c>
      <c r="E12" s="771"/>
      <c r="F12" s="771"/>
      <c r="G12" s="771"/>
      <c r="H12" s="772"/>
      <c r="I12" s="250"/>
      <c r="J12" s="251" t="s">
        <v>18</v>
      </c>
      <c r="K12" s="249"/>
      <c r="L12" s="252">
        <f>IF(L14&gt;0,L14,L16)</f>
        <v>12000</v>
      </c>
      <c r="M12" s="250"/>
      <c r="N12" s="253">
        <f>IF(L12=0,0%,L12/L$8)</f>
        <v>8.241843150856637E-2</v>
      </c>
      <c r="O12" s="495">
        <f>IF(LEN(D12)&gt;1,1,0)</f>
        <v>0</v>
      </c>
      <c r="P12" s="95"/>
    </row>
    <row r="13" spans="1:29" s="76" customFormat="1" ht="7.5" customHeight="1" x14ac:dyDescent="0.2">
      <c r="A13" s="87"/>
      <c r="B13" s="88"/>
      <c r="C13" s="88"/>
      <c r="D13" s="70"/>
      <c r="E13" s="70"/>
      <c r="F13" s="70"/>
      <c r="G13" s="70"/>
      <c r="H13" s="70"/>
      <c r="I13" s="70"/>
      <c r="J13" s="70"/>
      <c r="K13" s="88"/>
      <c r="L13" s="70"/>
      <c r="M13" s="70"/>
      <c r="N13" s="70"/>
      <c r="O13" s="89"/>
      <c r="V13" s="79"/>
    </row>
    <row r="14" spans="1:29" ht="25.5" x14ac:dyDescent="0.2">
      <c r="A14" s="347"/>
      <c r="B14" s="348" t="s">
        <v>313</v>
      </c>
      <c r="C14" s="345"/>
      <c r="D14" s="777" t="s">
        <v>723</v>
      </c>
      <c r="E14" s="778"/>
      <c r="F14" s="778"/>
      <c r="G14" s="778"/>
      <c r="H14" s="779"/>
      <c r="I14" s="346"/>
      <c r="J14" s="349" t="s">
        <v>18</v>
      </c>
      <c r="K14" s="88"/>
      <c r="L14" s="156">
        <f>FLOOR(IF(D14=V15,IF((L228&gt;0),IF((L99+L208+L228)*0.1&gt;P14,P14,(L99+L208+L228)*0.1),IF((L99+L208+L228)*0.2&gt;P14,P14,(L99+L208+L228)*0.2)),0),0.01)</f>
        <v>0</v>
      </c>
      <c r="M14" s="246"/>
      <c r="N14" s="147">
        <f>IF(L14=0,0%,L14/L$8)</f>
        <v>0</v>
      </c>
      <c r="O14" s="353"/>
      <c r="P14" s="356">
        <v>100000</v>
      </c>
      <c r="Q14" s="231" t="str">
        <f>IF(L14&gt;P14,D14,"")</f>
        <v/>
      </c>
      <c r="R14" s="79" t="e">
        <f>IF(AND(R20="NOT",R21="NOT",R22="NOT",R23="NOT",R24="NOT",R25="NOT",S20="NOT",S21="NOT",S22="NOT",S23="NOT",S24="NOT",S25="NOT",T20="NOT",T21="NOT",T22="NOT",T23="NOT",T24="NOT",T25="NOT",#REF!="NOT"),"NOT",D14)</f>
        <v>#REF!</v>
      </c>
      <c r="V14" s="79" t="s">
        <v>282</v>
      </c>
    </row>
    <row r="15" spans="1:29" s="76" customFormat="1" ht="27" customHeight="1" x14ac:dyDescent="0.2">
      <c r="A15" s="87"/>
      <c r="B15" s="780" t="s">
        <v>599</v>
      </c>
      <c r="C15" s="781"/>
      <c r="D15" s="781"/>
      <c r="E15" s="781"/>
      <c r="F15" s="781"/>
      <c r="G15" s="781"/>
      <c r="H15" s="781"/>
      <c r="I15" s="781"/>
      <c r="J15" s="781"/>
      <c r="K15" s="781"/>
      <c r="L15" s="781"/>
      <c r="M15" s="70"/>
      <c r="N15" s="70"/>
      <c r="O15" s="353"/>
      <c r="P15" s="354"/>
      <c r="Q15" s="355"/>
      <c r="V15" s="79" t="s">
        <v>644</v>
      </c>
    </row>
    <row r="16" spans="1:29" ht="25.5" customHeight="1" x14ac:dyDescent="0.2">
      <c r="A16" s="347"/>
      <c r="B16" s="348" t="s">
        <v>281</v>
      </c>
      <c r="C16" s="345"/>
      <c r="D16" s="773" t="s">
        <v>166</v>
      </c>
      <c r="E16" s="774"/>
      <c r="F16" s="774"/>
      <c r="G16" s="774"/>
      <c r="H16" s="775"/>
      <c r="I16" s="346"/>
      <c r="J16" s="349" t="s">
        <v>18</v>
      </c>
      <c r="K16" s="88"/>
      <c r="L16" s="156">
        <f>SUM(L23:L37)</f>
        <v>12000</v>
      </c>
      <c r="M16" s="246"/>
      <c r="N16" s="147">
        <f>IF(L16=0,0%,L16/L$8)</f>
        <v>8.241843150856637E-2</v>
      </c>
      <c r="O16" s="495">
        <f>IF(LEN(R16)&gt;3,1,0)</f>
        <v>0</v>
      </c>
      <c r="R16" s="494" t="str">
        <f>IF(AND(R22="NOT",S22="NOT",T22="NOT",R18="NOT"),"NOT",D16)</f>
        <v>NOT</v>
      </c>
      <c r="V16" s="79" t="s">
        <v>283</v>
      </c>
    </row>
    <row r="17" spans="1:22" s="76" customFormat="1" ht="15" customHeight="1" x14ac:dyDescent="0.2">
      <c r="A17" s="87"/>
      <c r="B17" s="752"/>
      <c r="C17" s="776"/>
      <c r="D17" s="776"/>
      <c r="E17" s="776"/>
      <c r="F17" s="776"/>
      <c r="G17" s="776"/>
      <c r="H17" s="776"/>
      <c r="I17" s="776"/>
      <c r="J17" s="776"/>
      <c r="K17" s="776"/>
      <c r="L17" s="776"/>
      <c r="M17" s="70"/>
      <c r="N17" s="70"/>
      <c r="O17" s="353"/>
      <c r="P17" s="271"/>
      <c r="Q17" s="231"/>
      <c r="V17" s="79"/>
    </row>
    <row r="18" spans="1:22" x14ac:dyDescent="0.2">
      <c r="B18" s="742" t="s">
        <v>84</v>
      </c>
      <c r="C18" s="743"/>
      <c r="D18" s="743"/>
      <c r="E18" s="743"/>
      <c r="F18" s="743"/>
      <c r="H18" s="81"/>
      <c r="J18" s="81"/>
      <c r="K18" s="88"/>
      <c r="L18" s="81"/>
      <c r="N18" s="227"/>
      <c r="R18" s="494" t="str">
        <f>IF(AND(($L16&gt;0),ISBLANK(B20)),B18,"NOT")</f>
        <v>NOT</v>
      </c>
    </row>
    <row r="19" spans="1:22" ht="3" customHeight="1" x14ac:dyDescent="0.2">
      <c r="B19" s="104"/>
      <c r="C19" s="88"/>
      <c r="D19" s="81"/>
      <c r="F19" s="81"/>
      <c r="H19" s="81"/>
      <c r="J19" s="81"/>
      <c r="K19" s="88"/>
      <c r="L19" s="81"/>
      <c r="N19" s="227"/>
    </row>
    <row r="20" spans="1:22" ht="81" customHeight="1" x14ac:dyDescent="0.2">
      <c r="B20" s="782" t="s">
        <v>861</v>
      </c>
      <c r="C20" s="745"/>
      <c r="D20" s="745"/>
      <c r="E20" s="745"/>
      <c r="F20" s="745"/>
      <c r="G20" s="745"/>
      <c r="H20" s="745"/>
      <c r="I20" s="745"/>
      <c r="J20" s="745"/>
      <c r="K20" s="745"/>
      <c r="L20" s="746"/>
      <c r="M20" s="70" t="s">
        <v>19</v>
      </c>
      <c r="N20" s="227"/>
    </row>
    <row r="21" spans="1:22" ht="3.75" customHeight="1" x14ac:dyDescent="0.2">
      <c r="B21" s="104"/>
      <c r="C21" s="88"/>
      <c r="D21" s="81"/>
      <c r="F21" s="81"/>
      <c r="H21" s="81"/>
      <c r="J21" s="81"/>
      <c r="K21" s="88"/>
      <c r="L21" s="81"/>
      <c r="N21" s="227"/>
    </row>
    <row r="22" spans="1:22" ht="38.25" x14ac:dyDescent="0.2">
      <c r="B22" s="244" t="s">
        <v>201</v>
      </c>
      <c r="C22" s="88"/>
      <c r="D22" s="244" t="s">
        <v>580</v>
      </c>
      <c r="F22" s="244" t="s">
        <v>205</v>
      </c>
      <c r="H22" s="244" t="s">
        <v>16</v>
      </c>
      <c r="J22" s="244" t="s">
        <v>15</v>
      </c>
      <c r="K22" s="245"/>
      <c r="L22" s="103" t="s">
        <v>141</v>
      </c>
      <c r="N22" s="81"/>
      <c r="R22" s="496" t="str">
        <f>IF(AND(R23="NOT",R24="NOT",R25="NOT",R26="NOT",R27="NOT",R28="NOT",R29="NOT",R30="NOT",R31="NOT",R32="NOT",R33="NOT",R34="NOT",R35="NOT",R36="NOT",R37="NOT"),"NOT",1)</f>
        <v>NOT</v>
      </c>
      <c r="S22" s="496" t="str">
        <f>IF(AND(S23="NOT",S24="NOT",S25="NOT",S26="NOT",S27="NOT",S28="NOT",S29="NOT",S30="NOT",S31="NOT",S32="NOT",S33="NOT",S34="NOT",S35="NOT",S36="NOT",S37="NOT"),"NOT",1)</f>
        <v>NOT</v>
      </c>
      <c r="T22" s="496" t="str">
        <f>IF(AND(T23="NOT",T24="NOT",T25="NOT",T26="NOT",T27="NOT",T28="NOT",T29="NOT",T30="NOT",T31="NOT",T32="NOT",T33="NOT",T34="NOT",T35="NOT",T36="NOT",T37="NOT"),"NOT",1)</f>
        <v>NOT</v>
      </c>
    </row>
    <row r="23" spans="1:22" ht="25.5" x14ac:dyDescent="0.2">
      <c r="B23" s="520" t="s">
        <v>862</v>
      </c>
      <c r="C23" s="88"/>
      <c r="D23" s="260" t="s">
        <v>724</v>
      </c>
      <c r="E23" s="243"/>
      <c r="F23" s="261" t="s">
        <v>85</v>
      </c>
      <c r="G23" s="243"/>
      <c r="H23" s="262">
        <v>20</v>
      </c>
      <c r="I23" s="243"/>
      <c r="J23" s="262">
        <v>600</v>
      </c>
      <c r="K23" s="88"/>
      <c r="L23" s="143">
        <f t="shared" ref="L23:L37" si="0">TRUNC(H23*J23,2)</f>
        <v>12000</v>
      </c>
      <c r="N23" s="81"/>
      <c r="R23" s="79" t="str">
        <f t="shared" ref="R23:R37" si="1">IF(AND(($L23&gt;0),ISBLANK(B23)),B23,"NOT")</f>
        <v>NOT</v>
      </c>
      <c r="S23" s="79" t="str">
        <f t="shared" ref="S23:S37" si="2">IF(AND(($L23&gt;0),ISBLANK(D23)),D23,"NOT")</f>
        <v>NOT</v>
      </c>
      <c r="T23" s="79" t="str">
        <f t="shared" ref="T23:T37" si="3">IF(AND(($L23&gt;0),ISBLANK(F23)),F23,"NOT")</f>
        <v>NOT</v>
      </c>
      <c r="V23" s="79" t="str">
        <f>LEFT(D23,3)</f>
        <v xml:space="preserve">1. </v>
      </c>
    </row>
    <row r="24" spans="1:22" x14ac:dyDescent="0.2">
      <c r="B24" s="259"/>
      <c r="C24" s="88"/>
      <c r="D24" s="260"/>
      <c r="E24" s="243"/>
      <c r="F24" s="261" t="s">
        <v>85</v>
      </c>
      <c r="G24" s="243"/>
      <c r="H24" s="262"/>
      <c r="I24" s="243"/>
      <c r="J24" s="262"/>
      <c r="K24" s="88"/>
      <c r="L24" s="143">
        <f t="shared" si="0"/>
        <v>0</v>
      </c>
      <c r="N24" s="81"/>
      <c r="R24" s="79" t="str">
        <f t="shared" si="1"/>
        <v>NOT</v>
      </c>
      <c r="S24" s="79" t="str">
        <f t="shared" si="2"/>
        <v>NOT</v>
      </c>
      <c r="T24" s="79" t="str">
        <f t="shared" si="3"/>
        <v>NOT</v>
      </c>
      <c r="V24" s="79" t="str">
        <f t="shared" ref="V24:V78" si="4">LEFT(D24,3)</f>
        <v/>
      </c>
    </row>
    <row r="25" spans="1:22" x14ac:dyDescent="0.2">
      <c r="B25" s="259"/>
      <c r="C25" s="88"/>
      <c r="D25" s="260"/>
      <c r="E25" s="243"/>
      <c r="F25" s="261" t="s">
        <v>85</v>
      </c>
      <c r="G25" s="243"/>
      <c r="H25" s="262"/>
      <c r="I25" s="243"/>
      <c r="J25" s="262"/>
      <c r="K25" s="88"/>
      <c r="L25" s="143">
        <f t="shared" si="0"/>
        <v>0</v>
      </c>
      <c r="N25" s="81"/>
      <c r="R25" s="79" t="str">
        <f t="shared" si="1"/>
        <v>NOT</v>
      </c>
      <c r="S25" s="79" t="str">
        <f t="shared" si="2"/>
        <v>NOT</v>
      </c>
      <c r="T25" s="79" t="str">
        <f t="shared" si="3"/>
        <v>NOT</v>
      </c>
      <c r="V25" s="79" t="str">
        <f t="shared" si="4"/>
        <v/>
      </c>
    </row>
    <row r="26" spans="1:22" x14ac:dyDescent="0.2">
      <c r="B26" s="259"/>
      <c r="C26" s="88"/>
      <c r="D26" s="260"/>
      <c r="E26" s="243"/>
      <c r="F26" s="261" t="s">
        <v>85</v>
      </c>
      <c r="G26" s="243"/>
      <c r="H26" s="262"/>
      <c r="I26" s="243"/>
      <c r="J26" s="262"/>
      <c r="K26" s="88"/>
      <c r="L26" s="143">
        <f t="shared" si="0"/>
        <v>0</v>
      </c>
      <c r="N26" s="81"/>
      <c r="R26" s="79" t="str">
        <f t="shared" si="1"/>
        <v>NOT</v>
      </c>
      <c r="S26" s="79" t="str">
        <f t="shared" si="2"/>
        <v>NOT</v>
      </c>
      <c r="T26" s="79" t="str">
        <f t="shared" si="3"/>
        <v>NOT</v>
      </c>
      <c r="V26" s="79" t="str">
        <f t="shared" si="4"/>
        <v/>
      </c>
    </row>
    <row r="27" spans="1:22" x14ac:dyDescent="0.2">
      <c r="B27" s="259"/>
      <c r="C27" s="88"/>
      <c r="D27" s="260"/>
      <c r="E27" s="243"/>
      <c r="F27" s="261" t="s">
        <v>85</v>
      </c>
      <c r="G27" s="243"/>
      <c r="H27" s="262"/>
      <c r="I27" s="243"/>
      <c r="J27" s="262"/>
      <c r="K27" s="88"/>
      <c r="L27" s="143">
        <f t="shared" si="0"/>
        <v>0</v>
      </c>
      <c r="N27" s="81"/>
      <c r="R27" s="79" t="str">
        <f t="shared" si="1"/>
        <v>NOT</v>
      </c>
      <c r="S27" s="79" t="str">
        <f t="shared" si="2"/>
        <v>NOT</v>
      </c>
      <c r="T27" s="79" t="str">
        <f t="shared" si="3"/>
        <v>NOT</v>
      </c>
      <c r="V27" s="79" t="str">
        <f t="shared" si="4"/>
        <v/>
      </c>
    </row>
    <row r="28" spans="1:22" x14ac:dyDescent="0.2">
      <c r="B28" s="259"/>
      <c r="C28" s="88"/>
      <c r="D28" s="260"/>
      <c r="E28" s="243"/>
      <c r="F28" s="261" t="s">
        <v>85</v>
      </c>
      <c r="G28" s="243"/>
      <c r="H28" s="262"/>
      <c r="I28" s="243"/>
      <c r="J28" s="262"/>
      <c r="K28" s="88"/>
      <c r="L28" s="143">
        <f t="shared" si="0"/>
        <v>0</v>
      </c>
      <c r="N28" s="81"/>
      <c r="R28" s="79" t="str">
        <f t="shared" si="1"/>
        <v>NOT</v>
      </c>
      <c r="S28" s="79" t="str">
        <f t="shared" si="2"/>
        <v>NOT</v>
      </c>
      <c r="T28" s="79" t="str">
        <f t="shared" si="3"/>
        <v>NOT</v>
      </c>
      <c r="V28" s="79" t="str">
        <f t="shared" si="4"/>
        <v/>
      </c>
    </row>
    <row r="29" spans="1:22" x14ac:dyDescent="0.2">
      <c r="B29" s="259"/>
      <c r="C29" s="88"/>
      <c r="D29" s="260"/>
      <c r="E29" s="243"/>
      <c r="F29" s="261" t="s">
        <v>85</v>
      </c>
      <c r="G29" s="243"/>
      <c r="H29" s="262"/>
      <c r="I29" s="243"/>
      <c r="J29" s="262"/>
      <c r="K29" s="88"/>
      <c r="L29" s="143">
        <f t="shared" si="0"/>
        <v>0</v>
      </c>
      <c r="N29" s="81"/>
      <c r="R29" s="79" t="str">
        <f t="shared" si="1"/>
        <v>NOT</v>
      </c>
      <c r="S29" s="79" t="str">
        <f t="shared" si="2"/>
        <v>NOT</v>
      </c>
      <c r="T29" s="79" t="str">
        <f t="shared" si="3"/>
        <v>NOT</v>
      </c>
      <c r="V29" s="79" t="str">
        <f t="shared" si="4"/>
        <v/>
      </c>
    </row>
    <row r="30" spans="1:22" x14ac:dyDescent="0.2">
      <c r="B30" s="259"/>
      <c r="C30" s="88"/>
      <c r="D30" s="260"/>
      <c r="E30" s="243"/>
      <c r="F30" s="261" t="s">
        <v>85</v>
      </c>
      <c r="G30" s="243"/>
      <c r="H30" s="262"/>
      <c r="I30" s="243"/>
      <c r="J30" s="262"/>
      <c r="K30" s="88"/>
      <c r="L30" s="143">
        <f t="shared" si="0"/>
        <v>0</v>
      </c>
      <c r="N30" s="81"/>
      <c r="R30" s="79" t="str">
        <f t="shared" si="1"/>
        <v>NOT</v>
      </c>
      <c r="S30" s="79" t="str">
        <f t="shared" si="2"/>
        <v>NOT</v>
      </c>
      <c r="T30" s="79" t="str">
        <f t="shared" si="3"/>
        <v>NOT</v>
      </c>
      <c r="V30" s="79" t="str">
        <f t="shared" si="4"/>
        <v/>
      </c>
    </row>
    <row r="31" spans="1:22" x14ac:dyDescent="0.2">
      <c r="B31" s="259"/>
      <c r="C31" s="88"/>
      <c r="D31" s="260"/>
      <c r="E31" s="243"/>
      <c r="F31" s="261" t="s">
        <v>85</v>
      </c>
      <c r="G31" s="243"/>
      <c r="H31" s="262"/>
      <c r="I31" s="243"/>
      <c r="J31" s="262"/>
      <c r="K31" s="88"/>
      <c r="L31" s="143">
        <f t="shared" si="0"/>
        <v>0</v>
      </c>
      <c r="N31" s="81"/>
      <c r="R31" s="79" t="str">
        <f t="shared" si="1"/>
        <v>NOT</v>
      </c>
      <c r="S31" s="79" t="str">
        <f t="shared" si="2"/>
        <v>NOT</v>
      </c>
      <c r="T31" s="79" t="str">
        <f t="shared" si="3"/>
        <v>NOT</v>
      </c>
      <c r="V31" s="79" t="str">
        <f t="shared" si="4"/>
        <v/>
      </c>
    </row>
    <row r="32" spans="1:22" x14ac:dyDescent="0.2">
      <c r="B32" s="259"/>
      <c r="C32" s="88"/>
      <c r="D32" s="260"/>
      <c r="E32" s="243"/>
      <c r="F32" s="261" t="s">
        <v>85</v>
      </c>
      <c r="G32" s="243"/>
      <c r="H32" s="262"/>
      <c r="I32" s="243"/>
      <c r="J32" s="262"/>
      <c r="K32" s="88"/>
      <c r="L32" s="143">
        <f t="shared" si="0"/>
        <v>0</v>
      </c>
      <c r="N32" s="81"/>
      <c r="R32" s="79" t="str">
        <f t="shared" si="1"/>
        <v>NOT</v>
      </c>
      <c r="S32" s="79" t="str">
        <f t="shared" si="2"/>
        <v>NOT</v>
      </c>
      <c r="T32" s="79" t="str">
        <f t="shared" si="3"/>
        <v>NOT</v>
      </c>
      <c r="V32" s="79" t="str">
        <f t="shared" si="4"/>
        <v/>
      </c>
    </row>
    <row r="33" spans="1:22" x14ac:dyDescent="0.2">
      <c r="B33" s="259"/>
      <c r="C33" s="88"/>
      <c r="D33" s="260"/>
      <c r="E33" s="243"/>
      <c r="F33" s="261" t="s">
        <v>85</v>
      </c>
      <c r="G33" s="243"/>
      <c r="H33" s="262"/>
      <c r="I33" s="243"/>
      <c r="J33" s="262"/>
      <c r="K33" s="88"/>
      <c r="L33" s="143">
        <f t="shared" si="0"/>
        <v>0</v>
      </c>
      <c r="N33" s="81"/>
      <c r="R33" s="79" t="str">
        <f t="shared" si="1"/>
        <v>NOT</v>
      </c>
      <c r="S33" s="79" t="str">
        <f t="shared" si="2"/>
        <v>NOT</v>
      </c>
      <c r="T33" s="79" t="str">
        <f t="shared" si="3"/>
        <v>NOT</v>
      </c>
      <c r="V33" s="79" t="str">
        <f t="shared" si="4"/>
        <v/>
      </c>
    </row>
    <row r="34" spans="1:22" x14ac:dyDescent="0.2">
      <c r="B34" s="259"/>
      <c r="C34" s="88"/>
      <c r="D34" s="260"/>
      <c r="E34" s="243"/>
      <c r="F34" s="261" t="s">
        <v>85</v>
      </c>
      <c r="G34" s="243"/>
      <c r="H34" s="262"/>
      <c r="I34" s="243"/>
      <c r="J34" s="262"/>
      <c r="K34" s="88"/>
      <c r="L34" s="143">
        <f t="shared" si="0"/>
        <v>0</v>
      </c>
      <c r="N34" s="81"/>
      <c r="R34" s="79" t="str">
        <f t="shared" si="1"/>
        <v>NOT</v>
      </c>
      <c r="S34" s="79" t="str">
        <f t="shared" si="2"/>
        <v>NOT</v>
      </c>
      <c r="T34" s="79" t="str">
        <f t="shared" si="3"/>
        <v>NOT</v>
      </c>
      <c r="V34" s="79" t="str">
        <f t="shared" si="4"/>
        <v/>
      </c>
    </row>
    <row r="35" spans="1:22" x14ac:dyDescent="0.2">
      <c r="B35" s="259"/>
      <c r="C35" s="88"/>
      <c r="D35" s="260"/>
      <c r="E35" s="243"/>
      <c r="F35" s="261" t="s">
        <v>85</v>
      </c>
      <c r="G35" s="243"/>
      <c r="H35" s="262"/>
      <c r="I35" s="243"/>
      <c r="J35" s="262"/>
      <c r="K35" s="88"/>
      <c r="L35" s="143">
        <f t="shared" si="0"/>
        <v>0</v>
      </c>
      <c r="N35" s="81"/>
      <c r="R35" s="79" t="str">
        <f t="shared" si="1"/>
        <v>NOT</v>
      </c>
      <c r="S35" s="79" t="str">
        <f t="shared" si="2"/>
        <v>NOT</v>
      </c>
      <c r="T35" s="79" t="str">
        <f t="shared" si="3"/>
        <v>NOT</v>
      </c>
      <c r="V35" s="79" t="str">
        <f t="shared" si="4"/>
        <v/>
      </c>
    </row>
    <row r="36" spans="1:22" x14ac:dyDescent="0.2">
      <c r="B36" s="259"/>
      <c r="C36" s="88"/>
      <c r="D36" s="260"/>
      <c r="E36" s="243"/>
      <c r="F36" s="261" t="s">
        <v>85</v>
      </c>
      <c r="G36" s="243"/>
      <c r="H36" s="262"/>
      <c r="I36" s="243"/>
      <c r="J36" s="262"/>
      <c r="K36" s="88"/>
      <c r="L36" s="143">
        <f t="shared" si="0"/>
        <v>0</v>
      </c>
      <c r="N36" s="81"/>
      <c r="R36" s="79" t="str">
        <f t="shared" si="1"/>
        <v>NOT</v>
      </c>
      <c r="S36" s="79" t="str">
        <f t="shared" si="2"/>
        <v>NOT</v>
      </c>
      <c r="T36" s="79" t="str">
        <f t="shared" si="3"/>
        <v>NOT</v>
      </c>
      <c r="V36" s="79" t="str">
        <f t="shared" si="4"/>
        <v/>
      </c>
    </row>
    <row r="37" spans="1:22" x14ac:dyDescent="0.2">
      <c r="B37" s="259"/>
      <c r="C37" s="88"/>
      <c r="D37" s="260"/>
      <c r="E37" s="243"/>
      <c r="F37" s="261" t="s">
        <v>85</v>
      </c>
      <c r="G37" s="243"/>
      <c r="H37" s="262"/>
      <c r="I37" s="243"/>
      <c r="J37" s="262"/>
      <c r="K37" s="88"/>
      <c r="L37" s="143">
        <f t="shared" si="0"/>
        <v>0</v>
      </c>
      <c r="N37" s="81"/>
      <c r="R37" s="79" t="str">
        <f t="shared" si="1"/>
        <v>NOT</v>
      </c>
      <c r="S37" s="79" t="str">
        <f t="shared" si="2"/>
        <v>NOT</v>
      </c>
      <c r="T37" s="79" t="str">
        <f t="shared" si="3"/>
        <v>NOT</v>
      </c>
      <c r="V37" s="79" t="str">
        <f t="shared" si="4"/>
        <v/>
      </c>
    </row>
    <row r="38" spans="1:22" x14ac:dyDescent="0.2">
      <c r="B38" s="104"/>
      <c r="C38" s="88"/>
      <c r="D38" s="81"/>
      <c r="F38" s="81"/>
      <c r="H38" s="81"/>
      <c r="J38" s="81"/>
      <c r="K38" s="88"/>
      <c r="L38" s="81"/>
      <c r="N38" s="227"/>
    </row>
    <row r="39" spans="1:22" x14ac:dyDescent="0.2">
      <c r="B39" s="104"/>
      <c r="C39" s="88"/>
      <c r="D39" s="81"/>
      <c r="F39" s="81"/>
      <c r="H39" s="81"/>
      <c r="J39" s="81"/>
      <c r="K39" s="88"/>
      <c r="L39" s="81"/>
      <c r="N39" s="227"/>
    </row>
    <row r="40" spans="1:22" ht="27" customHeight="1" x14ac:dyDescent="0.2">
      <c r="A40" s="247">
        <v>3</v>
      </c>
      <c r="B40" s="248" t="s">
        <v>284</v>
      </c>
      <c r="C40" s="249"/>
      <c r="D40" s="783" t="s">
        <v>305</v>
      </c>
      <c r="E40" s="765"/>
      <c r="F40" s="765"/>
      <c r="G40" s="765"/>
      <c r="H40" s="766"/>
      <c r="I40" s="250"/>
      <c r="J40" s="251" t="s">
        <v>18</v>
      </c>
      <c r="K40" s="249"/>
      <c r="L40" s="252">
        <f>ROUNDDOWN(L12*0.15,2)</f>
        <v>1800</v>
      </c>
      <c r="M40" s="250"/>
      <c r="N40" s="253">
        <f>IF(L40=0,0%,L40/L$8)</f>
        <v>1.2362764726284954E-2</v>
      </c>
      <c r="P40" s="270"/>
      <c r="Q40" s="231" t="str">
        <f>IF(N40&gt;P40,D40,"")</f>
        <v>Calculated as a flat rate of 15% of the staff costs</v>
      </c>
      <c r="R40" s="79" t="str">
        <f>IF(OR(N40&gt;O40,N40&gt;P40),"Overhead costs shall not exceed 5 per cent of each partner’s total eligible budget and shall not exceed 25 per cent of the total staff costs in each partner’s budget!","")</f>
        <v>Overhead costs shall not exceed 5 per cent of each partner’s total eligible budget and shall not exceed 25 per cent of the total staff costs in each partner’s budget!</v>
      </c>
      <c r="S40" s="85"/>
    </row>
    <row r="41" spans="1:22" x14ac:dyDescent="0.2">
      <c r="B41" s="104"/>
      <c r="C41" s="88"/>
      <c r="D41" s="81"/>
      <c r="F41" s="81"/>
      <c r="H41" s="81"/>
      <c r="J41" s="81"/>
      <c r="K41" s="88"/>
      <c r="L41" s="81"/>
      <c r="N41" s="227"/>
    </row>
    <row r="42" spans="1:22" ht="27" customHeight="1" x14ac:dyDescent="0.2">
      <c r="A42" s="247">
        <v>4</v>
      </c>
      <c r="B42" s="248" t="s">
        <v>286</v>
      </c>
      <c r="C42" s="249"/>
      <c r="D42" s="784" t="s">
        <v>563</v>
      </c>
      <c r="E42" s="785"/>
      <c r="F42" s="785"/>
      <c r="G42" s="785"/>
      <c r="H42" s="786"/>
      <c r="I42" s="250"/>
      <c r="J42" s="251" t="s">
        <v>18</v>
      </c>
      <c r="K42" s="249"/>
      <c r="L42" s="252">
        <f>IF(L14&gt;0,0,(L44+L62+L80))</f>
        <v>448.5</v>
      </c>
      <c r="M42" s="250"/>
      <c r="N42" s="253">
        <f>IF(L42=0,0%,L42/L$8)</f>
        <v>3.0803888776326678E-3</v>
      </c>
      <c r="O42" s="495">
        <f>IF(LEN(Q42)&gt;1,1,0)</f>
        <v>0</v>
      </c>
      <c r="P42" s="95"/>
      <c r="Q42" s="79" t="str">
        <f>IF(AND(L14&gt;0,(L44+L62+L80)),D42,"")</f>
        <v/>
      </c>
    </row>
    <row r="43" spans="1:22" s="76" customFormat="1" ht="7.5" customHeight="1" x14ac:dyDescent="0.2">
      <c r="A43" s="87"/>
      <c r="B43" s="88"/>
      <c r="C43" s="88"/>
      <c r="D43" s="70"/>
      <c r="E43" s="70"/>
      <c r="F43" s="70"/>
      <c r="G43" s="70"/>
      <c r="H43" s="70"/>
      <c r="I43" s="70"/>
      <c r="J43" s="70"/>
      <c r="K43" s="88"/>
      <c r="L43" s="70"/>
      <c r="M43" s="70"/>
      <c r="N43" s="70"/>
      <c r="O43" s="89"/>
      <c r="V43" s="79"/>
    </row>
    <row r="44" spans="1:22" ht="13.5" customHeight="1" x14ac:dyDescent="0.2">
      <c r="A44" s="276"/>
      <c r="B44" s="278" t="s">
        <v>287</v>
      </c>
      <c r="C44" s="277"/>
      <c r="D44" s="747" t="s">
        <v>166</v>
      </c>
      <c r="E44" s="748"/>
      <c r="F44" s="748"/>
      <c r="G44" s="748"/>
      <c r="H44" s="748"/>
      <c r="I44" s="279"/>
      <c r="J44" s="280" t="s">
        <v>18</v>
      </c>
      <c r="K44" s="88"/>
      <c r="L44" s="156">
        <f>SUM(L51:L60)</f>
        <v>448.5</v>
      </c>
      <c r="M44" s="246"/>
      <c r="N44" s="147">
        <f>IF(L44=0,0%,L44/L$8)</f>
        <v>3.0803888776326678E-3</v>
      </c>
      <c r="O44" s="495">
        <f>IF(LEN(R44)&gt;3,1,0)</f>
        <v>0</v>
      </c>
      <c r="R44" s="79" t="str">
        <f>IF(AND(R50="NOT",S50="NOT",T50="NOT"),"NOT",D44)</f>
        <v>NOT</v>
      </c>
    </row>
    <row r="45" spans="1:22" s="76" customFormat="1" ht="3" customHeight="1" x14ac:dyDescent="0.2">
      <c r="A45" s="87"/>
      <c r="B45" s="88"/>
      <c r="C45" s="88"/>
      <c r="D45" s="70"/>
      <c r="E45" s="70"/>
      <c r="F45" s="70"/>
      <c r="G45" s="70"/>
      <c r="H45" s="70"/>
      <c r="I45" s="70"/>
      <c r="J45" s="70"/>
      <c r="K45" s="88"/>
      <c r="L45" s="70"/>
      <c r="M45" s="70"/>
      <c r="N45" s="70"/>
      <c r="O45" s="89"/>
      <c r="V45" s="79"/>
    </row>
    <row r="46" spans="1:22" x14ac:dyDescent="0.2">
      <c r="B46" s="742" t="s">
        <v>197</v>
      </c>
      <c r="C46" s="743"/>
      <c r="D46" s="743"/>
      <c r="E46" s="743"/>
      <c r="F46" s="743"/>
      <c r="H46" s="81"/>
      <c r="J46" s="81"/>
      <c r="K46" s="88"/>
      <c r="L46" s="81"/>
      <c r="N46" s="227"/>
      <c r="R46" s="79" t="str">
        <f>IF(AND(($L44&gt;0),ISBLANK(B48)),B46,"NOT")</f>
        <v>NOT</v>
      </c>
    </row>
    <row r="47" spans="1:22" ht="3" customHeight="1" x14ac:dyDescent="0.2">
      <c r="B47" s="104"/>
      <c r="C47" s="88"/>
      <c r="D47" s="81"/>
      <c r="F47" s="81"/>
      <c r="H47" s="81"/>
      <c r="J47" s="81"/>
      <c r="K47" s="88"/>
      <c r="L47" s="81"/>
      <c r="N47" s="227"/>
    </row>
    <row r="48" spans="1:22" ht="50.25" customHeight="1" x14ac:dyDescent="0.2">
      <c r="B48" s="782" t="s">
        <v>863</v>
      </c>
      <c r="C48" s="745"/>
      <c r="D48" s="745"/>
      <c r="E48" s="745"/>
      <c r="F48" s="745"/>
      <c r="G48" s="745"/>
      <c r="H48" s="745"/>
      <c r="I48" s="745"/>
      <c r="J48" s="745"/>
      <c r="K48" s="745"/>
      <c r="L48" s="746"/>
      <c r="M48" s="70" t="s">
        <v>19</v>
      </c>
      <c r="N48" s="227"/>
    </row>
    <row r="49" spans="1:22" ht="3.75" customHeight="1" x14ac:dyDescent="0.2">
      <c r="B49" s="104"/>
      <c r="C49" s="88"/>
      <c r="D49" s="81"/>
      <c r="F49" s="81"/>
      <c r="H49" s="81"/>
      <c r="J49" s="81"/>
      <c r="K49" s="88"/>
      <c r="L49" s="81"/>
      <c r="N49" s="227"/>
    </row>
    <row r="50" spans="1:22" ht="12.75" customHeight="1" x14ac:dyDescent="0.2">
      <c r="B50" s="244" t="s">
        <v>17</v>
      </c>
      <c r="C50" s="88"/>
      <c r="D50" s="244" t="s">
        <v>580</v>
      </c>
      <c r="F50" s="244" t="s">
        <v>205</v>
      </c>
      <c r="H50" s="244" t="s">
        <v>16</v>
      </c>
      <c r="J50" s="244" t="s">
        <v>15</v>
      </c>
      <c r="K50" s="245"/>
      <c r="L50" s="103" t="s">
        <v>141</v>
      </c>
      <c r="N50" s="81"/>
      <c r="R50" s="255" t="str">
        <f>IF(AND(R51="NOT",R52="NOT",R53="NOT",R54="NOT",R55="NOT",R56="NOT",R57="NOT",R58="NOT",R59="NOT",R60="NOT",R46="NOT"),"NOT",D44)</f>
        <v>NOT</v>
      </c>
      <c r="S50" s="255" t="str">
        <f>IF(AND(S51="NOT",S52="NOT",S53="NOT",S54="NOT",S55="NOT",S56="NOT",S57="NOT",S58="NOT",S59="NOT",S60="NOT",R46="NOT"),"NOT",D44)</f>
        <v>NOT</v>
      </c>
      <c r="T50" s="255" t="str">
        <f>IF(AND(T51="NOT",T52="NOT",T53="NOT",T54="NOT",T55="NOT",T56="NOT",T57="NOT",T58="NOT",T59="NOT",T60="NOT",R46="NOT"),"NOT",D44)</f>
        <v>NOT</v>
      </c>
    </row>
    <row r="51" spans="1:22" ht="51" x14ac:dyDescent="0.2">
      <c r="B51" s="512" t="s">
        <v>901</v>
      </c>
      <c r="C51" s="88"/>
      <c r="D51" s="260" t="s">
        <v>724</v>
      </c>
      <c r="E51" s="243"/>
      <c r="F51" s="513" t="s">
        <v>789</v>
      </c>
      <c r="G51" s="243"/>
      <c r="H51" s="262">
        <f>3*90</f>
        <v>270</v>
      </c>
      <c r="I51" s="243"/>
      <c r="J51" s="262">
        <v>1.1499999999999999</v>
      </c>
      <c r="K51" s="88"/>
      <c r="L51" s="143">
        <f t="shared" ref="L51:L60" si="5">TRUNC(H51*J51,2)</f>
        <v>310.5</v>
      </c>
      <c r="N51" s="81"/>
      <c r="R51" s="79" t="str">
        <f t="shared" ref="R51:R60" si="6">IF(AND(($L51&gt;0),ISBLANK(B51)),B51,"NOT")</f>
        <v>NOT</v>
      </c>
      <c r="S51" s="79" t="str">
        <f t="shared" ref="S51:S60" si="7">IF(AND(($L51&gt;0),ISBLANK(D51)),D51,"NOT")</f>
        <v>NOT</v>
      </c>
      <c r="T51" s="79" t="str">
        <f t="shared" ref="T51:T60" si="8">IF(AND(($L51&gt;0),ISBLANK(F51)),F51,"NOT")</f>
        <v>NOT</v>
      </c>
      <c r="V51" s="79" t="str">
        <f t="shared" si="4"/>
        <v xml:space="preserve">1. </v>
      </c>
    </row>
    <row r="52" spans="1:22" ht="51" x14ac:dyDescent="0.2">
      <c r="B52" s="512" t="s">
        <v>902</v>
      </c>
      <c r="C52" s="88"/>
      <c r="D52" s="260" t="s">
        <v>724</v>
      </c>
      <c r="E52" s="243"/>
      <c r="F52" s="513" t="s">
        <v>789</v>
      </c>
      <c r="G52" s="243"/>
      <c r="H52" s="262">
        <f>3*40</f>
        <v>120</v>
      </c>
      <c r="I52" s="243"/>
      <c r="J52" s="262">
        <v>1.1499999999999999</v>
      </c>
      <c r="K52" s="88"/>
      <c r="L52" s="143">
        <f t="shared" si="5"/>
        <v>138</v>
      </c>
      <c r="N52" s="81"/>
      <c r="R52" s="79" t="str">
        <f t="shared" si="6"/>
        <v>NOT</v>
      </c>
      <c r="S52" s="79" t="str">
        <f t="shared" si="7"/>
        <v>NOT</v>
      </c>
      <c r="T52" s="79" t="str">
        <f t="shared" si="8"/>
        <v>NOT</v>
      </c>
      <c r="V52" s="79" t="str">
        <f t="shared" si="4"/>
        <v xml:space="preserve">1. </v>
      </c>
    </row>
    <row r="53" spans="1:22" x14ac:dyDescent="0.2">
      <c r="B53" s="259"/>
      <c r="C53" s="88"/>
      <c r="D53" s="260"/>
      <c r="E53" s="243"/>
      <c r="F53" s="261"/>
      <c r="G53" s="243"/>
      <c r="H53" s="262"/>
      <c r="I53" s="243"/>
      <c r="J53" s="262"/>
      <c r="K53" s="88"/>
      <c r="L53" s="143">
        <f t="shared" si="5"/>
        <v>0</v>
      </c>
      <c r="N53" s="81"/>
      <c r="R53" s="79" t="str">
        <f t="shared" si="6"/>
        <v>NOT</v>
      </c>
      <c r="S53" s="79" t="str">
        <f t="shared" si="7"/>
        <v>NOT</v>
      </c>
      <c r="T53" s="79" t="str">
        <f t="shared" si="8"/>
        <v>NOT</v>
      </c>
      <c r="V53" s="79" t="str">
        <f t="shared" si="4"/>
        <v/>
      </c>
    </row>
    <row r="54" spans="1:22" x14ac:dyDescent="0.2">
      <c r="B54" s="259"/>
      <c r="C54" s="88"/>
      <c r="D54" s="260"/>
      <c r="E54" s="243"/>
      <c r="F54" s="261"/>
      <c r="G54" s="243"/>
      <c r="H54" s="262"/>
      <c r="I54" s="243"/>
      <c r="J54" s="262"/>
      <c r="K54" s="88"/>
      <c r="L54" s="143">
        <f t="shared" si="5"/>
        <v>0</v>
      </c>
      <c r="N54" s="81"/>
      <c r="R54" s="79" t="str">
        <f t="shared" si="6"/>
        <v>NOT</v>
      </c>
      <c r="S54" s="79" t="str">
        <f t="shared" si="7"/>
        <v>NOT</v>
      </c>
      <c r="T54" s="79" t="str">
        <f t="shared" si="8"/>
        <v>NOT</v>
      </c>
      <c r="V54" s="79" t="str">
        <f t="shared" si="4"/>
        <v/>
      </c>
    </row>
    <row r="55" spans="1:22" x14ac:dyDescent="0.2">
      <c r="B55" s="259"/>
      <c r="C55" s="88"/>
      <c r="D55" s="260"/>
      <c r="E55" s="243"/>
      <c r="F55" s="261"/>
      <c r="G55" s="243"/>
      <c r="H55" s="262"/>
      <c r="I55" s="243"/>
      <c r="J55" s="262"/>
      <c r="K55" s="88"/>
      <c r="L55" s="143">
        <f t="shared" si="5"/>
        <v>0</v>
      </c>
      <c r="N55" s="81"/>
      <c r="R55" s="79" t="str">
        <f t="shared" si="6"/>
        <v>NOT</v>
      </c>
      <c r="S55" s="79" t="str">
        <f t="shared" si="7"/>
        <v>NOT</v>
      </c>
      <c r="T55" s="79" t="str">
        <f t="shared" si="8"/>
        <v>NOT</v>
      </c>
      <c r="V55" s="79" t="str">
        <f t="shared" si="4"/>
        <v/>
      </c>
    </row>
    <row r="56" spans="1:22" x14ac:dyDescent="0.2">
      <c r="B56" s="259"/>
      <c r="C56" s="88"/>
      <c r="D56" s="260"/>
      <c r="E56" s="243"/>
      <c r="F56" s="261"/>
      <c r="G56" s="243"/>
      <c r="H56" s="262"/>
      <c r="I56" s="243"/>
      <c r="J56" s="262"/>
      <c r="K56" s="88"/>
      <c r="L56" s="143">
        <f t="shared" si="5"/>
        <v>0</v>
      </c>
      <c r="N56" s="81"/>
      <c r="R56" s="79" t="str">
        <f t="shared" si="6"/>
        <v>NOT</v>
      </c>
      <c r="S56" s="79" t="str">
        <f t="shared" si="7"/>
        <v>NOT</v>
      </c>
      <c r="T56" s="79" t="str">
        <f t="shared" si="8"/>
        <v>NOT</v>
      </c>
      <c r="V56" s="79" t="str">
        <f t="shared" si="4"/>
        <v/>
      </c>
    </row>
    <row r="57" spans="1:22" x14ac:dyDescent="0.2">
      <c r="B57" s="259"/>
      <c r="C57" s="88"/>
      <c r="D57" s="260"/>
      <c r="E57" s="243"/>
      <c r="F57" s="261"/>
      <c r="G57" s="243"/>
      <c r="H57" s="262"/>
      <c r="I57" s="243"/>
      <c r="J57" s="262"/>
      <c r="K57" s="88"/>
      <c r="L57" s="143">
        <f t="shared" si="5"/>
        <v>0</v>
      </c>
      <c r="N57" s="81"/>
      <c r="R57" s="79" t="str">
        <f t="shared" si="6"/>
        <v>NOT</v>
      </c>
      <c r="S57" s="79" t="str">
        <f t="shared" si="7"/>
        <v>NOT</v>
      </c>
      <c r="T57" s="79" t="str">
        <f t="shared" si="8"/>
        <v>NOT</v>
      </c>
      <c r="V57" s="79" t="str">
        <f t="shared" si="4"/>
        <v/>
      </c>
    </row>
    <row r="58" spans="1:22" x14ac:dyDescent="0.2">
      <c r="B58" s="259"/>
      <c r="C58" s="88"/>
      <c r="D58" s="260"/>
      <c r="E58" s="243"/>
      <c r="F58" s="261"/>
      <c r="G58" s="243"/>
      <c r="H58" s="262"/>
      <c r="I58" s="243"/>
      <c r="J58" s="262"/>
      <c r="K58" s="88"/>
      <c r="L58" s="143">
        <f t="shared" si="5"/>
        <v>0</v>
      </c>
      <c r="N58" s="81"/>
      <c r="R58" s="79" t="str">
        <f t="shared" si="6"/>
        <v>NOT</v>
      </c>
      <c r="S58" s="79" t="str">
        <f t="shared" si="7"/>
        <v>NOT</v>
      </c>
      <c r="T58" s="79" t="str">
        <f t="shared" si="8"/>
        <v>NOT</v>
      </c>
      <c r="V58" s="79" t="str">
        <f t="shared" si="4"/>
        <v/>
      </c>
    </row>
    <row r="59" spans="1:22" x14ac:dyDescent="0.2">
      <c r="B59" s="259"/>
      <c r="C59" s="88"/>
      <c r="D59" s="260"/>
      <c r="E59" s="243"/>
      <c r="F59" s="261"/>
      <c r="G59" s="243"/>
      <c r="H59" s="262"/>
      <c r="I59" s="243"/>
      <c r="J59" s="262"/>
      <c r="K59" s="88"/>
      <c r="L59" s="143">
        <f t="shared" si="5"/>
        <v>0</v>
      </c>
      <c r="N59" s="81"/>
      <c r="R59" s="79" t="str">
        <f t="shared" si="6"/>
        <v>NOT</v>
      </c>
      <c r="S59" s="79" t="str">
        <f t="shared" si="7"/>
        <v>NOT</v>
      </c>
      <c r="T59" s="79" t="str">
        <f t="shared" si="8"/>
        <v>NOT</v>
      </c>
      <c r="V59" s="79" t="str">
        <f t="shared" si="4"/>
        <v/>
      </c>
    </row>
    <row r="60" spans="1:22" x14ac:dyDescent="0.2">
      <c r="B60" s="259"/>
      <c r="C60" s="88"/>
      <c r="D60" s="260"/>
      <c r="E60" s="243"/>
      <c r="F60" s="261"/>
      <c r="G60" s="243"/>
      <c r="H60" s="262"/>
      <c r="I60" s="243"/>
      <c r="J60" s="262"/>
      <c r="K60" s="88"/>
      <c r="L60" s="143">
        <f t="shared" si="5"/>
        <v>0</v>
      </c>
      <c r="N60" s="81"/>
      <c r="R60" s="79" t="str">
        <f t="shared" si="6"/>
        <v>NOT</v>
      </c>
      <c r="S60" s="79" t="str">
        <f t="shared" si="7"/>
        <v>NOT</v>
      </c>
      <c r="T60" s="79" t="str">
        <f t="shared" si="8"/>
        <v>NOT</v>
      </c>
      <c r="V60" s="79" t="str">
        <f t="shared" si="4"/>
        <v/>
      </c>
    </row>
    <row r="61" spans="1:22" x14ac:dyDescent="0.2">
      <c r="B61" s="104"/>
      <c r="C61" s="88"/>
      <c r="D61" s="81"/>
      <c r="F61" s="81"/>
      <c r="H61" s="81"/>
      <c r="J61" s="81"/>
      <c r="K61" s="88"/>
      <c r="L61" s="81"/>
      <c r="N61" s="227"/>
    </row>
    <row r="62" spans="1:22" ht="13.5" customHeight="1" x14ac:dyDescent="0.2">
      <c r="A62" s="276"/>
      <c r="B62" s="278" t="s">
        <v>288</v>
      </c>
      <c r="C62" s="277"/>
      <c r="D62" s="747" t="s">
        <v>166</v>
      </c>
      <c r="E62" s="748"/>
      <c r="F62" s="748"/>
      <c r="G62" s="748"/>
      <c r="H62" s="748"/>
      <c r="I62" s="279"/>
      <c r="J62" s="280" t="s">
        <v>18</v>
      </c>
      <c r="K62" s="88"/>
      <c r="L62" s="156">
        <f>SUM(L69:L78)</f>
        <v>0</v>
      </c>
      <c r="M62" s="246"/>
      <c r="N62" s="147">
        <f>IF(L62=0,0%,L62/L$8)</f>
        <v>0</v>
      </c>
      <c r="O62" s="495">
        <f>IF(LEN(R62)&gt;3,1,0)</f>
        <v>0</v>
      </c>
      <c r="R62" s="79" t="str">
        <f>IF(AND(R68="NOT",S68="NOT",T68="NOT"),"NOT",D62)</f>
        <v>NOT</v>
      </c>
    </row>
    <row r="63" spans="1:22" s="76" customFormat="1" ht="3" customHeight="1" x14ac:dyDescent="0.2">
      <c r="A63" s="87"/>
      <c r="B63" s="88"/>
      <c r="C63" s="88"/>
      <c r="D63" s="70"/>
      <c r="E63" s="70"/>
      <c r="F63" s="70"/>
      <c r="G63" s="70"/>
      <c r="H63" s="70"/>
      <c r="I63" s="70"/>
      <c r="J63" s="70"/>
      <c r="K63" s="88"/>
      <c r="L63" s="70"/>
      <c r="M63" s="70"/>
      <c r="N63" s="70"/>
      <c r="O63" s="89"/>
      <c r="V63" s="79"/>
    </row>
    <row r="64" spans="1:22" x14ac:dyDescent="0.2">
      <c r="B64" s="742" t="s">
        <v>197</v>
      </c>
      <c r="C64" s="743"/>
      <c r="D64" s="743"/>
      <c r="E64" s="743"/>
      <c r="F64" s="743"/>
      <c r="H64" s="81"/>
      <c r="J64" s="81"/>
      <c r="K64" s="88"/>
      <c r="L64" s="81"/>
      <c r="N64" s="227"/>
      <c r="R64" s="79" t="str">
        <f>IF(AND(($L62&gt;0),ISBLANK(B66)),B64,"NOT")</f>
        <v>NOT</v>
      </c>
    </row>
    <row r="65" spans="1:22" ht="3" customHeight="1" x14ac:dyDescent="0.2">
      <c r="B65" s="104"/>
      <c r="C65" s="88"/>
      <c r="D65" s="81"/>
      <c r="F65" s="81"/>
      <c r="H65" s="81"/>
      <c r="J65" s="81"/>
      <c r="K65" s="88"/>
      <c r="L65" s="81"/>
      <c r="N65" s="227"/>
    </row>
    <row r="66" spans="1:22" ht="50.25" customHeight="1" x14ac:dyDescent="0.2">
      <c r="B66" s="744"/>
      <c r="C66" s="745"/>
      <c r="D66" s="745"/>
      <c r="E66" s="745"/>
      <c r="F66" s="745"/>
      <c r="G66" s="745"/>
      <c r="H66" s="745"/>
      <c r="I66" s="745"/>
      <c r="J66" s="745"/>
      <c r="K66" s="745"/>
      <c r="L66" s="746"/>
      <c r="M66" s="70" t="s">
        <v>19</v>
      </c>
      <c r="N66" s="227"/>
    </row>
    <row r="67" spans="1:22" ht="3.75" customHeight="1" x14ac:dyDescent="0.2">
      <c r="B67" s="104"/>
      <c r="C67" s="88"/>
      <c r="D67" s="81"/>
      <c r="F67" s="81"/>
      <c r="H67" s="81"/>
      <c r="J67" s="81"/>
      <c r="K67" s="88"/>
      <c r="L67" s="81"/>
      <c r="N67" s="227"/>
    </row>
    <row r="68" spans="1:22" ht="12.75" customHeight="1" x14ac:dyDescent="0.2">
      <c r="B68" s="244" t="s">
        <v>17</v>
      </c>
      <c r="C68" s="88"/>
      <c r="D68" s="244" t="s">
        <v>580</v>
      </c>
      <c r="F68" s="244" t="s">
        <v>205</v>
      </c>
      <c r="H68" s="244" t="s">
        <v>16</v>
      </c>
      <c r="J68" s="244" t="s">
        <v>15</v>
      </c>
      <c r="K68" s="245"/>
      <c r="L68" s="103" t="s">
        <v>141</v>
      </c>
      <c r="N68" s="81"/>
      <c r="R68" s="255" t="str">
        <f>IF(AND(R69="NOT",R70="NOT",R71="NOT",R72="NOT",R73="NOT",R74="NOT",R75="NOT",R76="NOT",R77="NOT",R78="NOT",R64="NOT"),"NOT",D62)</f>
        <v>NOT</v>
      </c>
      <c r="S68" s="255" t="str">
        <f>IF(AND(S69="NOT",S70="NOT",S71="NOT",S72="NOT",S73="NOT",S74="NOT",S75="NOT",S76="NOT",S77="NOT",S78="NOT",R64="NOT"),"NOT",D62)</f>
        <v>NOT</v>
      </c>
      <c r="T68" s="255" t="str">
        <f>IF(AND(T69="NOT",T70="NOT",T71="NOT",T72="NOT",T73="NOT",T74="NOT",T75="NOT",T76="NOT",T77="NOT",T78="NOT",R64="NOT"),"NOT",D62)</f>
        <v>NOT</v>
      </c>
    </row>
    <row r="69" spans="1:22" x14ac:dyDescent="0.2">
      <c r="B69" s="259"/>
      <c r="C69" s="88"/>
      <c r="D69" s="260"/>
      <c r="E69" s="243"/>
      <c r="F69" s="261"/>
      <c r="G69" s="243"/>
      <c r="H69" s="262"/>
      <c r="I69" s="243"/>
      <c r="J69" s="262"/>
      <c r="K69" s="88"/>
      <c r="L69" s="143">
        <f t="shared" ref="L69:L78" si="9">TRUNC(H69*J69,2)</f>
        <v>0</v>
      </c>
      <c r="N69" s="81"/>
      <c r="R69" s="79" t="str">
        <f t="shared" ref="R69:R78" si="10">IF(AND(($L69&gt;0),ISBLANK(B69)),B69,"NOT")</f>
        <v>NOT</v>
      </c>
      <c r="S69" s="79" t="str">
        <f t="shared" ref="S69:S78" si="11">IF(AND(($L69&gt;0),ISBLANK(D69)),D69,"NOT")</f>
        <v>NOT</v>
      </c>
      <c r="T69" s="79" t="str">
        <f t="shared" ref="T69:T78" si="12">IF(AND(($L69&gt;0),ISBLANK(F69)),F69,"NOT")</f>
        <v>NOT</v>
      </c>
      <c r="V69" s="79" t="str">
        <f t="shared" si="4"/>
        <v/>
      </c>
    </row>
    <row r="70" spans="1:22" x14ac:dyDescent="0.2">
      <c r="B70" s="259"/>
      <c r="C70" s="88"/>
      <c r="D70" s="260"/>
      <c r="E70" s="243"/>
      <c r="F70" s="261"/>
      <c r="G70" s="243"/>
      <c r="H70" s="262"/>
      <c r="I70" s="243"/>
      <c r="J70" s="262"/>
      <c r="K70" s="88"/>
      <c r="L70" s="143">
        <f t="shared" si="9"/>
        <v>0</v>
      </c>
      <c r="N70" s="81"/>
      <c r="R70" s="79" t="str">
        <f t="shared" si="10"/>
        <v>NOT</v>
      </c>
      <c r="S70" s="79" t="str">
        <f t="shared" si="11"/>
        <v>NOT</v>
      </c>
      <c r="T70" s="79" t="str">
        <f t="shared" si="12"/>
        <v>NOT</v>
      </c>
      <c r="V70" s="79" t="str">
        <f t="shared" si="4"/>
        <v/>
      </c>
    </row>
    <row r="71" spans="1:22" x14ac:dyDescent="0.2">
      <c r="B71" s="259"/>
      <c r="C71" s="88"/>
      <c r="D71" s="260"/>
      <c r="E71" s="243"/>
      <c r="F71" s="261"/>
      <c r="G71" s="243"/>
      <c r="H71" s="262"/>
      <c r="I71" s="243"/>
      <c r="J71" s="262"/>
      <c r="K71" s="88"/>
      <c r="L71" s="143">
        <f t="shared" si="9"/>
        <v>0</v>
      </c>
      <c r="N71" s="81"/>
      <c r="R71" s="79" t="str">
        <f t="shared" si="10"/>
        <v>NOT</v>
      </c>
      <c r="S71" s="79" t="str">
        <f t="shared" si="11"/>
        <v>NOT</v>
      </c>
      <c r="T71" s="79" t="str">
        <f t="shared" si="12"/>
        <v>NOT</v>
      </c>
      <c r="V71" s="79" t="str">
        <f t="shared" si="4"/>
        <v/>
      </c>
    </row>
    <row r="72" spans="1:22" x14ac:dyDescent="0.2">
      <c r="B72" s="259"/>
      <c r="C72" s="88"/>
      <c r="D72" s="260"/>
      <c r="E72" s="243"/>
      <c r="F72" s="261"/>
      <c r="G72" s="243"/>
      <c r="H72" s="262"/>
      <c r="I72" s="243"/>
      <c r="J72" s="262"/>
      <c r="K72" s="88"/>
      <c r="L72" s="143">
        <f t="shared" si="9"/>
        <v>0</v>
      </c>
      <c r="N72" s="81"/>
      <c r="R72" s="79" t="str">
        <f t="shared" si="10"/>
        <v>NOT</v>
      </c>
      <c r="S72" s="79" t="str">
        <f t="shared" si="11"/>
        <v>NOT</v>
      </c>
      <c r="T72" s="79" t="str">
        <f t="shared" si="12"/>
        <v>NOT</v>
      </c>
      <c r="V72" s="79" t="str">
        <f t="shared" si="4"/>
        <v/>
      </c>
    </row>
    <row r="73" spans="1:22" x14ac:dyDescent="0.2">
      <c r="B73" s="259"/>
      <c r="C73" s="88"/>
      <c r="D73" s="260"/>
      <c r="E73" s="243"/>
      <c r="F73" s="261"/>
      <c r="G73" s="243"/>
      <c r="H73" s="262"/>
      <c r="I73" s="243"/>
      <c r="J73" s="262"/>
      <c r="K73" s="88"/>
      <c r="L73" s="143">
        <f t="shared" si="9"/>
        <v>0</v>
      </c>
      <c r="N73" s="81"/>
      <c r="R73" s="79" t="str">
        <f t="shared" si="10"/>
        <v>NOT</v>
      </c>
      <c r="S73" s="79" t="str">
        <f t="shared" si="11"/>
        <v>NOT</v>
      </c>
      <c r="T73" s="79" t="str">
        <f t="shared" si="12"/>
        <v>NOT</v>
      </c>
      <c r="V73" s="79" t="str">
        <f t="shared" si="4"/>
        <v/>
      </c>
    </row>
    <row r="74" spans="1:22" x14ac:dyDescent="0.2">
      <c r="B74" s="259"/>
      <c r="C74" s="88"/>
      <c r="D74" s="260"/>
      <c r="E74" s="243"/>
      <c r="F74" s="261"/>
      <c r="G74" s="243"/>
      <c r="H74" s="262"/>
      <c r="I74" s="243"/>
      <c r="J74" s="262"/>
      <c r="K74" s="88"/>
      <c r="L74" s="143">
        <f t="shared" si="9"/>
        <v>0</v>
      </c>
      <c r="N74" s="81"/>
      <c r="R74" s="79" t="str">
        <f t="shared" si="10"/>
        <v>NOT</v>
      </c>
      <c r="S74" s="79" t="str">
        <f t="shared" si="11"/>
        <v>NOT</v>
      </c>
      <c r="T74" s="79" t="str">
        <f t="shared" si="12"/>
        <v>NOT</v>
      </c>
      <c r="V74" s="79" t="str">
        <f t="shared" si="4"/>
        <v/>
      </c>
    </row>
    <row r="75" spans="1:22" x14ac:dyDescent="0.2">
      <c r="B75" s="259"/>
      <c r="C75" s="88"/>
      <c r="D75" s="260"/>
      <c r="E75" s="243"/>
      <c r="F75" s="261"/>
      <c r="G75" s="243"/>
      <c r="H75" s="262"/>
      <c r="I75" s="243"/>
      <c r="J75" s="262"/>
      <c r="K75" s="88"/>
      <c r="L75" s="143">
        <f t="shared" si="9"/>
        <v>0</v>
      </c>
      <c r="N75" s="81"/>
      <c r="R75" s="79" t="str">
        <f t="shared" si="10"/>
        <v>NOT</v>
      </c>
      <c r="S75" s="79" t="str">
        <f t="shared" si="11"/>
        <v>NOT</v>
      </c>
      <c r="T75" s="79" t="str">
        <f t="shared" si="12"/>
        <v>NOT</v>
      </c>
      <c r="V75" s="79" t="str">
        <f t="shared" si="4"/>
        <v/>
      </c>
    </row>
    <row r="76" spans="1:22" x14ac:dyDescent="0.2">
      <c r="B76" s="259"/>
      <c r="C76" s="88"/>
      <c r="D76" s="260"/>
      <c r="E76" s="243"/>
      <c r="F76" s="261"/>
      <c r="G76" s="243"/>
      <c r="H76" s="262"/>
      <c r="I76" s="243"/>
      <c r="J76" s="262"/>
      <c r="K76" s="88"/>
      <c r="L76" s="143">
        <f t="shared" si="9"/>
        <v>0</v>
      </c>
      <c r="N76" s="81"/>
      <c r="R76" s="79" t="str">
        <f t="shared" si="10"/>
        <v>NOT</v>
      </c>
      <c r="S76" s="79" t="str">
        <f t="shared" si="11"/>
        <v>NOT</v>
      </c>
      <c r="T76" s="79" t="str">
        <f t="shared" si="12"/>
        <v>NOT</v>
      </c>
      <c r="V76" s="79" t="str">
        <f t="shared" si="4"/>
        <v/>
      </c>
    </row>
    <row r="77" spans="1:22" x14ac:dyDescent="0.2">
      <c r="B77" s="259"/>
      <c r="C77" s="88"/>
      <c r="D77" s="260"/>
      <c r="E77" s="243"/>
      <c r="F77" s="261"/>
      <c r="G77" s="243"/>
      <c r="H77" s="262"/>
      <c r="I77" s="243"/>
      <c r="J77" s="262"/>
      <c r="K77" s="88"/>
      <c r="L77" s="143">
        <f t="shared" si="9"/>
        <v>0</v>
      </c>
      <c r="N77" s="81"/>
      <c r="R77" s="79" t="str">
        <f t="shared" si="10"/>
        <v>NOT</v>
      </c>
      <c r="S77" s="79" t="str">
        <f t="shared" si="11"/>
        <v>NOT</v>
      </c>
      <c r="T77" s="79" t="str">
        <f t="shared" si="12"/>
        <v>NOT</v>
      </c>
      <c r="V77" s="79" t="str">
        <f t="shared" si="4"/>
        <v/>
      </c>
    </row>
    <row r="78" spans="1:22" x14ac:dyDescent="0.2">
      <c r="B78" s="259"/>
      <c r="C78" s="88"/>
      <c r="D78" s="260"/>
      <c r="E78" s="243"/>
      <c r="F78" s="261"/>
      <c r="G78" s="243"/>
      <c r="H78" s="262"/>
      <c r="I78" s="243"/>
      <c r="J78" s="262"/>
      <c r="K78" s="88"/>
      <c r="L78" s="143">
        <f t="shared" si="9"/>
        <v>0</v>
      </c>
      <c r="N78" s="81"/>
      <c r="R78" s="79" t="str">
        <f t="shared" si="10"/>
        <v>NOT</v>
      </c>
      <c r="S78" s="79" t="str">
        <f t="shared" si="11"/>
        <v>NOT</v>
      </c>
      <c r="T78" s="79" t="str">
        <f t="shared" si="12"/>
        <v>NOT</v>
      </c>
      <c r="V78" s="79" t="str">
        <f t="shared" si="4"/>
        <v/>
      </c>
    </row>
    <row r="79" spans="1:22" s="76" customFormat="1" ht="12.75" customHeight="1" x14ac:dyDescent="0.2">
      <c r="A79" s="87"/>
      <c r="B79" s="88"/>
      <c r="C79" s="88"/>
      <c r="D79" s="70"/>
      <c r="E79" s="70"/>
      <c r="F79" s="70"/>
      <c r="G79" s="70"/>
      <c r="H79" s="70"/>
      <c r="I79" s="70"/>
      <c r="J79" s="70"/>
      <c r="K79" s="88"/>
      <c r="L79" s="70"/>
      <c r="M79" s="70"/>
      <c r="N79" s="70"/>
      <c r="O79" s="89"/>
      <c r="V79" s="79"/>
    </row>
    <row r="80" spans="1:22" ht="13.5" customHeight="1" x14ac:dyDescent="0.2">
      <c r="A80" s="276"/>
      <c r="B80" s="278" t="s">
        <v>289</v>
      </c>
      <c r="C80" s="277"/>
      <c r="D80" s="747" t="s">
        <v>166</v>
      </c>
      <c r="E80" s="748"/>
      <c r="F80" s="748"/>
      <c r="G80" s="748"/>
      <c r="H80" s="748"/>
      <c r="I80" s="279"/>
      <c r="J80" s="280" t="s">
        <v>18</v>
      </c>
      <c r="K80" s="88"/>
      <c r="L80" s="156">
        <f>SUM(L87:L96)</f>
        <v>0</v>
      </c>
      <c r="M80" s="246"/>
      <c r="N80" s="147">
        <f>IF(L80=0,0%,L80/L$8)</f>
        <v>0</v>
      </c>
      <c r="O80" s="495">
        <f>IF(LEN(R80)&gt;3,1,0)</f>
        <v>0</v>
      </c>
      <c r="R80" s="79" t="str">
        <f>IF(AND(R86="NOT",S86="NOT",T86="NOT"),"NOT",D80)</f>
        <v>NOT</v>
      </c>
    </row>
    <row r="81" spans="1:22" s="76" customFormat="1" ht="3" customHeight="1" x14ac:dyDescent="0.2">
      <c r="A81" s="87"/>
      <c r="B81" s="88"/>
      <c r="C81" s="88"/>
      <c r="D81" s="70"/>
      <c r="E81" s="70"/>
      <c r="F81" s="70"/>
      <c r="G81" s="70"/>
      <c r="H81" s="70"/>
      <c r="I81" s="70"/>
      <c r="J81" s="70"/>
      <c r="K81" s="88"/>
      <c r="L81" s="70"/>
      <c r="M81" s="70"/>
      <c r="N81" s="70"/>
      <c r="O81" s="89"/>
      <c r="V81" s="79"/>
    </row>
    <row r="82" spans="1:22" x14ac:dyDescent="0.2">
      <c r="B82" s="742" t="s">
        <v>197</v>
      </c>
      <c r="C82" s="743"/>
      <c r="D82" s="743"/>
      <c r="E82" s="743"/>
      <c r="F82" s="743"/>
      <c r="H82" s="81"/>
      <c r="J82" s="81"/>
      <c r="K82" s="88"/>
      <c r="L82" s="81"/>
      <c r="N82" s="227"/>
      <c r="R82" s="79" t="str">
        <f>IF(AND(($L80&gt;0),ISBLANK(B84)),B82,"NOT")</f>
        <v>NOT</v>
      </c>
    </row>
    <row r="83" spans="1:22" ht="3" customHeight="1" x14ac:dyDescent="0.2">
      <c r="B83" s="104"/>
      <c r="C83" s="88"/>
      <c r="D83" s="81"/>
      <c r="F83" s="81"/>
      <c r="H83" s="81"/>
      <c r="J83" s="81"/>
      <c r="K83" s="88"/>
      <c r="L83" s="81"/>
      <c r="N83" s="227"/>
    </row>
    <row r="84" spans="1:22" ht="50.25" customHeight="1" x14ac:dyDescent="0.2">
      <c r="B84" s="782"/>
      <c r="C84" s="745"/>
      <c r="D84" s="745"/>
      <c r="E84" s="745"/>
      <c r="F84" s="745"/>
      <c r="G84" s="745"/>
      <c r="H84" s="745"/>
      <c r="I84" s="745"/>
      <c r="J84" s="745"/>
      <c r="K84" s="745"/>
      <c r="L84" s="746"/>
      <c r="M84" s="70" t="s">
        <v>19</v>
      </c>
      <c r="N84" s="227"/>
    </row>
    <row r="85" spans="1:22" ht="3.75" customHeight="1" x14ac:dyDescent="0.2">
      <c r="B85" s="104"/>
      <c r="C85" s="88"/>
      <c r="D85" s="81"/>
      <c r="F85" s="81"/>
      <c r="H85" s="81"/>
      <c r="J85" s="81"/>
      <c r="K85" s="88"/>
      <c r="L85" s="81"/>
      <c r="N85" s="227"/>
    </row>
    <row r="86" spans="1:22" ht="12.75" customHeight="1" x14ac:dyDescent="0.2">
      <c r="B86" s="244" t="s">
        <v>17</v>
      </c>
      <c r="C86" s="88"/>
      <c r="D86" s="244" t="s">
        <v>580</v>
      </c>
      <c r="F86" s="244" t="s">
        <v>205</v>
      </c>
      <c r="H86" s="244" t="s">
        <v>16</v>
      </c>
      <c r="J86" s="244" t="s">
        <v>15</v>
      </c>
      <c r="K86" s="245"/>
      <c r="L86" s="103" t="s">
        <v>141</v>
      </c>
      <c r="N86" s="81"/>
      <c r="R86" s="255" t="str">
        <f>IF(AND(R87="NOT",R88="NOT",R89="NOT",R90="NOT",R91="NOT",R92="NOT",R93="NOT",R94="NOT",R95="NOT",R96="NOT",R82="NOT"),"NOT",D80)</f>
        <v>NOT</v>
      </c>
      <c r="S86" s="255" t="str">
        <f>IF(AND(S87="NOT",S88="NOT",S89="NOT",S90="NOT",S91="NOT",S92="NOT",S93="NOT",S94="NOT",S95="NOT",S96="NOT",R82="NOT"),"NOT",D80)</f>
        <v>NOT</v>
      </c>
      <c r="T86" s="255" t="str">
        <f>IF(AND(T87="NOT",T88="NOT",T89="NOT",T90="NOT",T91="NOT",T92="NOT",T93="NOT",T94="NOT",T95="NOT",T96="NOT",R82="NOT"),"NOT",D80)</f>
        <v>NOT</v>
      </c>
    </row>
    <row r="87" spans="1:22" x14ac:dyDescent="0.2">
      <c r="B87" s="520"/>
      <c r="C87" s="88"/>
      <c r="D87" s="260"/>
      <c r="E87" s="243"/>
      <c r="F87" s="261"/>
      <c r="G87" s="243"/>
      <c r="H87" s="262"/>
      <c r="I87" s="243"/>
      <c r="J87" s="262"/>
      <c r="K87" s="88"/>
      <c r="L87" s="143">
        <f t="shared" ref="L87:L96" si="13">TRUNC(H87*J87,2)</f>
        <v>0</v>
      </c>
      <c r="N87" s="81"/>
      <c r="R87" s="79" t="str">
        <f t="shared" ref="R87:R96" si="14">IF(AND(($L87&gt;0),ISBLANK(B87)),B87,"NOT")</f>
        <v>NOT</v>
      </c>
      <c r="S87" s="79" t="str">
        <f t="shared" ref="S87:S96" si="15">IF(AND(($L87&gt;0),ISBLANK(D87)),D87,"NOT")</f>
        <v>NOT</v>
      </c>
      <c r="T87" s="79" t="str">
        <f t="shared" ref="T87:T96" si="16">IF(AND(($L87&gt;0),ISBLANK(F87)),F87,"NOT")</f>
        <v>NOT</v>
      </c>
      <c r="V87" s="79" t="str">
        <f t="shared" ref="V87:V96" si="17">LEFT(D87,3)</f>
        <v/>
      </c>
    </row>
    <row r="88" spans="1:22" x14ac:dyDescent="0.2">
      <c r="B88" s="259"/>
      <c r="C88" s="88"/>
      <c r="D88" s="260"/>
      <c r="E88" s="243"/>
      <c r="F88" s="261"/>
      <c r="G88" s="243"/>
      <c r="H88" s="262"/>
      <c r="I88" s="243"/>
      <c r="J88" s="262"/>
      <c r="K88" s="88"/>
      <c r="L88" s="143">
        <f t="shared" si="13"/>
        <v>0</v>
      </c>
      <c r="N88" s="81"/>
      <c r="R88" s="79" t="str">
        <f t="shared" si="14"/>
        <v>NOT</v>
      </c>
      <c r="S88" s="79" t="str">
        <f t="shared" si="15"/>
        <v>NOT</v>
      </c>
      <c r="T88" s="79" t="str">
        <f t="shared" si="16"/>
        <v>NOT</v>
      </c>
      <c r="V88" s="79" t="str">
        <f t="shared" si="17"/>
        <v/>
      </c>
    </row>
    <row r="89" spans="1:22" x14ac:dyDescent="0.2">
      <c r="B89" s="259"/>
      <c r="C89" s="88"/>
      <c r="D89" s="260"/>
      <c r="E89" s="243"/>
      <c r="F89" s="261"/>
      <c r="G89" s="243"/>
      <c r="H89" s="262"/>
      <c r="I89" s="243"/>
      <c r="J89" s="262"/>
      <c r="K89" s="88"/>
      <c r="L89" s="143">
        <f t="shared" si="13"/>
        <v>0</v>
      </c>
      <c r="N89" s="81"/>
      <c r="R89" s="79" t="str">
        <f t="shared" si="14"/>
        <v>NOT</v>
      </c>
      <c r="S89" s="79" t="str">
        <f t="shared" si="15"/>
        <v>NOT</v>
      </c>
      <c r="T89" s="79" t="str">
        <f t="shared" si="16"/>
        <v>NOT</v>
      </c>
      <c r="V89" s="79" t="str">
        <f t="shared" si="17"/>
        <v/>
      </c>
    </row>
    <row r="90" spans="1:22" x14ac:dyDescent="0.2">
      <c r="B90" s="259"/>
      <c r="C90" s="88"/>
      <c r="D90" s="260"/>
      <c r="E90" s="243"/>
      <c r="F90" s="261"/>
      <c r="G90" s="243"/>
      <c r="H90" s="262"/>
      <c r="I90" s="243"/>
      <c r="J90" s="262"/>
      <c r="K90" s="88"/>
      <c r="L90" s="143">
        <f t="shared" si="13"/>
        <v>0</v>
      </c>
      <c r="N90" s="81"/>
      <c r="R90" s="79" t="str">
        <f t="shared" si="14"/>
        <v>NOT</v>
      </c>
      <c r="S90" s="79" t="str">
        <f t="shared" si="15"/>
        <v>NOT</v>
      </c>
      <c r="T90" s="79" t="str">
        <f t="shared" si="16"/>
        <v>NOT</v>
      </c>
      <c r="V90" s="79" t="str">
        <f t="shared" si="17"/>
        <v/>
      </c>
    </row>
    <row r="91" spans="1:22" x14ac:dyDescent="0.2">
      <c r="B91" s="259"/>
      <c r="C91" s="88"/>
      <c r="D91" s="260"/>
      <c r="E91" s="243"/>
      <c r="F91" s="261"/>
      <c r="G91" s="243"/>
      <c r="H91" s="262"/>
      <c r="I91" s="243"/>
      <c r="J91" s="262"/>
      <c r="K91" s="88"/>
      <c r="L91" s="143">
        <f t="shared" si="13"/>
        <v>0</v>
      </c>
      <c r="N91" s="81"/>
      <c r="R91" s="79" t="str">
        <f t="shared" si="14"/>
        <v>NOT</v>
      </c>
      <c r="S91" s="79" t="str">
        <f t="shared" si="15"/>
        <v>NOT</v>
      </c>
      <c r="T91" s="79" t="str">
        <f t="shared" si="16"/>
        <v>NOT</v>
      </c>
      <c r="V91" s="79" t="str">
        <f t="shared" si="17"/>
        <v/>
      </c>
    </row>
    <row r="92" spans="1:22" x14ac:dyDescent="0.2">
      <c r="B92" s="259"/>
      <c r="C92" s="88"/>
      <c r="D92" s="260"/>
      <c r="E92" s="243"/>
      <c r="F92" s="261"/>
      <c r="G92" s="243"/>
      <c r="H92" s="262"/>
      <c r="I92" s="243"/>
      <c r="J92" s="262"/>
      <c r="K92" s="88"/>
      <c r="L92" s="143">
        <f t="shared" si="13"/>
        <v>0</v>
      </c>
      <c r="N92" s="81"/>
      <c r="R92" s="79" t="str">
        <f t="shared" si="14"/>
        <v>NOT</v>
      </c>
      <c r="S92" s="79" t="str">
        <f t="shared" si="15"/>
        <v>NOT</v>
      </c>
      <c r="T92" s="79" t="str">
        <f t="shared" si="16"/>
        <v>NOT</v>
      </c>
      <c r="V92" s="79" t="str">
        <f t="shared" si="17"/>
        <v/>
      </c>
    </row>
    <row r="93" spans="1:22" x14ac:dyDescent="0.2">
      <c r="B93" s="259"/>
      <c r="C93" s="88"/>
      <c r="D93" s="260"/>
      <c r="E93" s="243"/>
      <c r="F93" s="261"/>
      <c r="G93" s="243"/>
      <c r="H93" s="262"/>
      <c r="I93" s="243"/>
      <c r="J93" s="262"/>
      <c r="K93" s="88"/>
      <c r="L93" s="143">
        <f t="shared" si="13"/>
        <v>0</v>
      </c>
      <c r="N93" s="81"/>
      <c r="R93" s="79" t="str">
        <f t="shared" si="14"/>
        <v>NOT</v>
      </c>
      <c r="S93" s="79" t="str">
        <f t="shared" si="15"/>
        <v>NOT</v>
      </c>
      <c r="T93" s="79" t="str">
        <f t="shared" si="16"/>
        <v>NOT</v>
      </c>
      <c r="V93" s="79" t="str">
        <f t="shared" si="17"/>
        <v/>
      </c>
    </row>
    <row r="94" spans="1:22" x14ac:dyDescent="0.2">
      <c r="B94" s="259"/>
      <c r="C94" s="88"/>
      <c r="D94" s="260"/>
      <c r="E94" s="243"/>
      <c r="F94" s="261"/>
      <c r="G94" s="243"/>
      <c r="H94" s="262"/>
      <c r="I94" s="243"/>
      <c r="J94" s="262"/>
      <c r="K94" s="88"/>
      <c r="L94" s="143">
        <f t="shared" si="13"/>
        <v>0</v>
      </c>
      <c r="N94" s="81"/>
      <c r="R94" s="79" t="str">
        <f t="shared" si="14"/>
        <v>NOT</v>
      </c>
      <c r="S94" s="79" t="str">
        <f t="shared" si="15"/>
        <v>NOT</v>
      </c>
      <c r="T94" s="79" t="str">
        <f t="shared" si="16"/>
        <v>NOT</v>
      </c>
      <c r="V94" s="79" t="str">
        <f t="shared" si="17"/>
        <v/>
      </c>
    </row>
    <row r="95" spans="1:22" x14ac:dyDescent="0.2">
      <c r="B95" s="259"/>
      <c r="C95" s="88"/>
      <c r="D95" s="260"/>
      <c r="E95" s="243"/>
      <c r="F95" s="261"/>
      <c r="G95" s="243"/>
      <c r="H95" s="262"/>
      <c r="I95" s="243"/>
      <c r="J95" s="262"/>
      <c r="K95" s="88"/>
      <c r="L95" s="143">
        <f t="shared" si="13"/>
        <v>0</v>
      </c>
      <c r="N95" s="81"/>
      <c r="R95" s="79" t="str">
        <f t="shared" si="14"/>
        <v>NOT</v>
      </c>
      <c r="S95" s="79" t="str">
        <f t="shared" si="15"/>
        <v>NOT</v>
      </c>
      <c r="T95" s="79" t="str">
        <f t="shared" si="16"/>
        <v>NOT</v>
      </c>
      <c r="V95" s="79" t="str">
        <f t="shared" si="17"/>
        <v/>
      </c>
    </row>
    <row r="96" spans="1:22" x14ac:dyDescent="0.2">
      <c r="B96" s="259"/>
      <c r="C96" s="88"/>
      <c r="D96" s="260"/>
      <c r="E96" s="243"/>
      <c r="F96" s="261"/>
      <c r="G96" s="243"/>
      <c r="H96" s="262"/>
      <c r="I96" s="243"/>
      <c r="J96" s="262"/>
      <c r="K96" s="88"/>
      <c r="L96" s="143">
        <f t="shared" si="13"/>
        <v>0</v>
      </c>
      <c r="N96" s="81"/>
      <c r="R96" s="79" t="str">
        <f t="shared" si="14"/>
        <v>NOT</v>
      </c>
      <c r="S96" s="79" t="str">
        <f t="shared" si="15"/>
        <v>NOT</v>
      </c>
      <c r="T96" s="79" t="str">
        <f t="shared" si="16"/>
        <v>NOT</v>
      </c>
      <c r="V96" s="79" t="str">
        <f t="shared" si="17"/>
        <v/>
      </c>
    </row>
    <row r="97" spans="1:22" x14ac:dyDescent="0.2">
      <c r="B97" s="104"/>
      <c r="C97" s="88"/>
      <c r="D97" s="81"/>
      <c r="F97" s="81"/>
      <c r="H97" s="81"/>
      <c r="J97" s="81"/>
      <c r="K97" s="88"/>
      <c r="L97" s="81"/>
      <c r="N97" s="227"/>
    </row>
    <row r="98" spans="1:22" x14ac:dyDescent="0.2">
      <c r="B98" s="104"/>
      <c r="C98" s="88"/>
      <c r="D98" s="81"/>
      <c r="F98" s="81"/>
      <c r="H98" s="81"/>
      <c r="J98" s="81"/>
      <c r="K98" s="88"/>
      <c r="L98" s="81"/>
      <c r="N98" s="227"/>
    </row>
    <row r="99" spans="1:22" ht="27" customHeight="1" x14ac:dyDescent="0.2">
      <c r="A99" s="247">
        <v>5</v>
      </c>
      <c r="B99" s="248" t="s">
        <v>290</v>
      </c>
      <c r="C99" s="249"/>
      <c r="D99" s="760"/>
      <c r="E99" s="761"/>
      <c r="F99" s="761"/>
      <c r="G99" s="761"/>
      <c r="H99" s="762"/>
      <c r="I99" s="250"/>
      <c r="J99" s="251" t="s">
        <v>18</v>
      </c>
      <c r="K99" s="249"/>
      <c r="L99" s="252">
        <f>L101+L112+L130+L148+L162+L174+L192</f>
        <v>68000</v>
      </c>
      <c r="M99" s="250"/>
      <c r="N99" s="253">
        <f>IF(L99=0,0%,L99/L$8)</f>
        <v>0.46703777854854273</v>
      </c>
      <c r="O99" s="94"/>
      <c r="P99" s="95"/>
      <c r="Q99" s="79">
        <f>IF(N99&gt;O99,D99,"")</f>
        <v>0</v>
      </c>
    </row>
    <row r="100" spans="1:22" s="76" customFormat="1" ht="7.5" customHeight="1" x14ac:dyDescent="0.2">
      <c r="A100" s="87"/>
      <c r="B100" s="88"/>
      <c r="C100" s="88"/>
      <c r="D100" s="70"/>
      <c r="E100" s="70"/>
      <c r="F100" s="70"/>
      <c r="G100" s="70"/>
      <c r="H100" s="70"/>
      <c r="I100" s="70"/>
      <c r="J100" s="70"/>
      <c r="K100" s="88"/>
      <c r="L100" s="70"/>
      <c r="M100" s="70"/>
      <c r="N100" s="70"/>
      <c r="O100" s="89"/>
      <c r="V100" s="79"/>
    </row>
    <row r="101" spans="1:22" ht="13.5" customHeight="1" x14ac:dyDescent="0.2">
      <c r="A101" s="276"/>
      <c r="B101" s="278" t="s">
        <v>291</v>
      </c>
      <c r="C101" s="277"/>
      <c r="D101" s="747" t="s">
        <v>166</v>
      </c>
      <c r="E101" s="748"/>
      <c r="F101" s="748"/>
      <c r="G101" s="748"/>
      <c r="H101" s="748"/>
      <c r="I101" s="279"/>
      <c r="J101" s="280" t="s">
        <v>18</v>
      </c>
      <c r="K101" s="88"/>
      <c r="L101" s="156">
        <f>SUM(L108:L110)</f>
        <v>0</v>
      </c>
      <c r="M101" s="246"/>
      <c r="N101" s="147">
        <f>IF(L101=0,0%,L101/L$8)</f>
        <v>0</v>
      </c>
      <c r="O101" s="495">
        <f>IF(LEN(R101)&gt;3,1,0)</f>
        <v>0</v>
      </c>
      <c r="R101" s="79" t="str">
        <f>IF(AND(R107="NOT",S107="NOT",T107="NOT"),"NOT",D101)</f>
        <v>NOT</v>
      </c>
    </row>
    <row r="102" spans="1:22" s="76" customFormat="1" ht="3" customHeight="1" x14ac:dyDescent="0.2">
      <c r="A102" s="87"/>
      <c r="B102" s="88"/>
      <c r="C102" s="88"/>
      <c r="D102" s="70"/>
      <c r="E102" s="70"/>
      <c r="F102" s="70"/>
      <c r="G102" s="70"/>
      <c r="H102" s="70"/>
      <c r="I102" s="70"/>
      <c r="J102" s="70"/>
      <c r="K102" s="88"/>
      <c r="L102" s="70"/>
      <c r="M102" s="70"/>
      <c r="N102" s="70"/>
      <c r="O102" s="89"/>
      <c r="V102" s="79"/>
    </row>
    <row r="103" spans="1:22" x14ac:dyDescent="0.2">
      <c r="B103" s="742" t="s">
        <v>197</v>
      </c>
      <c r="C103" s="743"/>
      <c r="D103" s="743"/>
      <c r="E103" s="743"/>
      <c r="F103" s="743"/>
      <c r="H103" s="81"/>
      <c r="J103" s="81"/>
      <c r="K103" s="88"/>
      <c r="L103" s="81"/>
      <c r="N103" s="227"/>
      <c r="R103" s="79" t="str">
        <f>IF(AND(($L101&gt;0),ISBLANK(B105)),B103,"NOT")</f>
        <v>NOT</v>
      </c>
    </row>
    <row r="104" spans="1:22" ht="3" customHeight="1" x14ac:dyDescent="0.2">
      <c r="B104" s="104"/>
      <c r="C104" s="88"/>
      <c r="D104" s="81"/>
      <c r="F104" s="81"/>
      <c r="H104" s="81"/>
      <c r="J104" s="81"/>
      <c r="K104" s="88"/>
      <c r="L104" s="81"/>
      <c r="N104" s="227"/>
    </row>
    <row r="105" spans="1:22" ht="36" customHeight="1" x14ac:dyDescent="0.2">
      <c r="B105" s="782" t="s">
        <v>864</v>
      </c>
      <c r="C105" s="745"/>
      <c r="D105" s="745"/>
      <c r="E105" s="745"/>
      <c r="F105" s="745"/>
      <c r="G105" s="745"/>
      <c r="H105" s="745"/>
      <c r="I105" s="745"/>
      <c r="J105" s="745"/>
      <c r="K105" s="745"/>
      <c r="L105" s="746"/>
      <c r="M105" s="70" t="s">
        <v>19</v>
      </c>
      <c r="N105" s="227"/>
    </row>
    <row r="106" spans="1:22" ht="3.75" customHeight="1" x14ac:dyDescent="0.2">
      <c r="B106" s="104"/>
      <c r="C106" s="88"/>
      <c r="D106" s="81"/>
      <c r="F106" s="81"/>
      <c r="H106" s="81"/>
      <c r="J106" s="81"/>
      <c r="K106" s="88"/>
      <c r="L106" s="81"/>
      <c r="N106" s="227"/>
    </row>
    <row r="107" spans="1:22" ht="12.75" customHeight="1" x14ac:dyDescent="0.2">
      <c r="B107" s="244" t="s">
        <v>17</v>
      </c>
      <c r="C107" s="88"/>
      <c r="D107" s="244" t="s">
        <v>580</v>
      </c>
      <c r="F107" s="244" t="s">
        <v>205</v>
      </c>
      <c r="H107" s="244" t="s">
        <v>16</v>
      </c>
      <c r="J107" s="244" t="s">
        <v>15</v>
      </c>
      <c r="K107" s="245"/>
      <c r="L107" s="103" t="s">
        <v>141</v>
      </c>
      <c r="N107" s="81"/>
      <c r="R107" s="255" t="str">
        <f>IF(AND(R108="NOT",R109="NOT",R110="NOT",R103="NOT"),"NOT",D101)</f>
        <v>NOT</v>
      </c>
      <c r="S107" s="255" t="str">
        <f>IF(AND(S108="NOT",S109="NOT",S110="NOT",R103="NOT"),"NOT",D101)</f>
        <v>NOT</v>
      </c>
      <c r="T107" s="255" t="str">
        <f>IF(AND(T108="NOT",T109="NOT",T110="NOT",R103="NOT"),"NOT",D101)</f>
        <v>NOT</v>
      </c>
    </row>
    <row r="108" spans="1:22" x14ac:dyDescent="0.2">
      <c r="B108" s="520"/>
      <c r="C108" s="88"/>
      <c r="D108" s="260"/>
      <c r="E108" s="243"/>
      <c r="F108" s="261"/>
      <c r="G108" s="243"/>
      <c r="H108" s="262"/>
      <c r="I108" s="243"/>
      <c r="J108" s="262"/>
      <c r="K108" s="88"/>
      <c r="L108" s="143">
        <f>TRUNC(H108*J108,2)</f>
        <v>0</v>
      </c>
      <c r="N108" s="81"/>
      <c r="R108" s="79" t="str">
        <f>IF(AND(($L108&gt;0),ISBLANK(B108)),B108,"NOT")</f>
        <v>NOT</v>
      </c>
      <c r="S108" s="79" t="str">
        <f>IF(AND(($L108&gt;0),ISBLANK(D108)),D108,"NOT")</f>
        <v>NOT</v>
      </c>
      <c r="T108" s="79" t="str">
        <f>IF(AND(($L108&gt;0),ISBLANK(F108)),F108,"NOT")</f>
        <v>NOT</v>
      </c>
      <c r="V108" s="79" t="str">
        <f>LEFT(D108,3)</f>
        <v/>
      </c>
    </row>
    <row r="109" spans="1:22" x14ac:dyDescent="0.2">
      <c r="B109" s="259"/>
      <c r="C109" s="88"/>
      <c r="D109" s="260"/>
      <c r="E109" s="243"/>
      <c r="F109" s="261"/>
      <c r="G109" s="243"/>
      <c r="H109" s="262"/>
      <c r="I109" s="243"/>
      <c r="J109" s="262"/>
      <c r="K109" s="88"/>
      <c r="L109" s="143">
        <f>TRUNC(H109*J109,2)</f>
        <v>0</v>
      </c>
      <c r="N109" s="81"/>
      <c r="R109" s="79" t="str">
        <f>IF(AND(($L109&gt;0),ISBLANK(B109)),B109,"NOT")</f>
        <v>NOT</v>
      </c>
      <c r="S109" s="79" t="str">
        <f>IF(AND(($L109&gt;0),ISBLANK(D109)),D109,"NOT")</f>
        <v>NOT</v>
      </c>
      <c r="T109" s="79" t="str">
        <f>IF(AND(($L109&gt;0),ISBLANK(F109)),F109,"NOT")</f>
        <v>NOT</v>
      </c>
      <c r="V109" s="79" t="str">
        <f>LEFT(D109,3)</f>
        <v/>
      </c>
    </row>
    <row r="110" spans="1:22" x14ac:dyDescent="0.2">
      <c r="B110" s="259"/>
      <c r="C110" s="88"/>
      <c r="D110" s="260"/>
      <c r="E110" s="243"/>
      <c r="F110" s="261"/>
      <c r="G110" s="243"/>
      <c r="H110" s="262"/>
      <c r="I110" s="243"/>
      <c r="J110" s="262"/>
      <c r="K110" s="88"/>
      <c r="L110" s="143">
        <f>TRUNC(H110*J110,2)</f>
        <v>0</v>
      </c>
      <c r="N110" s="81"/>
      <c r="R110" s="79" t="str">
        <f>IF(AND(($L110&gt;0),ISBLANK(B110)),B110,"NOT")</f>
        <v>NOT</v>
      </c>
      <c r="S110" s="79" t="str">
        <f>IF(AND(($L110&gt;0),ISBLANK(D110)),D110,"NOT")</f>
        <v>NOT</v>
      </c>
      <c r="T110" s="79" t="str">
        <f>IF(AND(($L110&gt;0),ISBLANK(F110)),F110,"NOT")</f>
        <v>NOT</v>
      </c>
      <c r="V110" s="79" t="str">
        <f>LEFT(D110,3)</f>
        <v/>
      </c>
    </row>
    <row r="111" spans="1:22" x14ac:dyDescent="0.2">
      <c r="B111" s="104"/>
      <c r="C111" s="88"/>
      <c r="D111" s="81"/>
      <c r="F111" s="81"/>
      <c r="H111" s="81"/>
      <c r="J111" s="81"/>
      <c r="K111" s="88"/>
      <c r="L111" s="81"/>
      <c r="N111" s="227"/>
    </row>
    <row r="112" spans="1:22" ht="25.5" customHeight="1" x14ac:dyDescent="0.2">
      <c r="A112" s="276"/>
      <c r="B112" s="278" t="s">
        <v>292</v>
      </c>
      <c r="C112" s="277"/>
      <c r="D112" s="747" t="s">
        <v>166</v>
      </c>
      <c r="E112" s="748"/>
      <c r="F112" s="748"/>
      <c r="G112" s="748"/>
      <c r="H112" s="748"/>
      <c r="I112" s="279"/>
      <c r="J112" s="280" t="s">
        <v>18</v>
      </c>
      <c r="K112" s="88"/>
      <c r="L112" s="156">
        <f>SUM(L119:L128)</f>
        <v>0</v>
      </c>
      <c r="M112" s="246"/>
      <c r="N112" s="147">
        <f>IF(L112=0,0%,L112/L$8)</f>
        <v>0</v>
      </c>
      <c r="O112" s="495">
        <f>IF(LEN(R112)&gt;3,1,0)</f>
        <v>0</v>
      </c>
      <c r="R112" s="79" t="str">
        <f>IF(AND(R118="NOT",S118="NOT",T118="NOT"),"NOT",D112)</f>
        <v>NOT</v>
      </c>
    </row>
    <row r="113" spans="1:22" s="76" customFormat="1" ht="3" customHeight="1" x14ac:dyDescent="0.2">
      <c r="A113" s="87"/>
      <c r="B113" s="88"/>
      <c r="C113" s="88"/>
      <c r="D113" s="70"/>
      <c r="E113" s="70"/>
      <c r="F113" s="70"/>
      <c r="G113" s="70"/>
      <c r="H113" s="70"/>
      <c r="I113" s="70"/>
      <c r="J113" s="70"/>
      <c r="K113" s="88"/>
      <c r="L113" s="70"/>
      <c r="M113" s="70"/>
      <c r="N113" s="70"/>
      <c r="O113" s="89"/>
      <c r="V113" s="79"/>
    </row>
    <row r="114" spans="1:22" ht="25.5" customHeight="1" x14ac:dyDescent="0.2">
      <c r="B114" s="749" t="s">
        <v>203</v>
      </c>
      <c r="C114" s="787"/>
      <c r="D114" s="787"/>
      <c r="E114" s="787"/>
      <c r="F114" s="787"/>
      <c r="H114" s="81"/>
      <c r="J114" s="81"/>
      <c r="K114" s="88"/>
      <c r="L114" s="81"/>
      <c r="N114" s="227"/>
      <c r="R114" s="79" t="str">
        <f>IF(AND(($L112&gt;0),ISBLANK(B116)),B114,"NOT")</f>
        <v>NOT</v>
      </c>
    </row>
    <row r="115" spans="1:22" ht="3" customHeight="1" x14ac:dyDescent="0.2">
      <c r="B115" s="104"/>
      <c r="C115" s="88"/>
      <c r="D115" s="81"/>
      <c r="F115" s="81"/>
      <c r="H115" s="81"/>
      <c r="J115" s="81"/>
      <c r="K115" s="88"/>
      <c r="L115" s="81"/>
      <c r="N115" s="227"/>
    </row>
    <row r="116" spans="1:22" ht="60" customHeight="1" x14ac:dyDescent="0.2">
      <c r="B116" s="782" t="s">
        <v>865</v>
      </c>
      <c r="C116" s="745"/>
      <c r="D116" s="745"/>
      <c r="E116" s="745"/>
      <c r="F116" s="745"/>
      <c r="G116" s="745"/>
      <c r="H116" s="745"/>
      <c r="I116" s="745"/>
      <c r="J116" s="745"/>
      <c r="K116" s="745"/>
      <c r="L116" s="746"/>
      <c r="M116" s="70" t="s">
        <v>19</v>
      </c>
      <c r="N116" s="227"/>
    </row>
    <row r="117" spans="1:22" ht="3.75" customHeight="1" x14ac:dyDescent="0.2">
      <c r="B117" s="104"/>
      <c r="C117" s="88"/>
      <c r="D117" s="81"/>
      <c r="F117" s="81"/>
      <c r="H117" s="81"/>
      <c r="J117" s="81"/>
      <c r="K117" s="88"/>
      <c r="L117" s="81"/>
      <c r="N117" s="227"/>
    </row>
    <row r="118" spans="1:22" ht="25.5" x14ac:dyDescent="0.2">
      <c r="B118" s="244" t="s">
        <v>579</v>
      </c>
      <c r="C118" s="88"/>
      <c r="D118" s="244" t="s">
        <v>580</v>
      </c>
      <c r="F118" s="244" t="s">
        <v>205</v>
      </c>
      <c r="H118" s="244" t="s">
        <v>16</v>
      </c>
      <c r="J118" s="244" t="s">
        <v>15</v>
      </c>
      <c r="K118" s="245"/>
      <c r="L118" s="103" t="s">
        <v>141</v>
      </c>
      <c r="N118" s="81"/>
      <c r="R118" s="255" t="str">
        <f>IF(AND(R119="NOT",R120="NOT",R121="NOT",R122="NOT",R123="NOT",R124="NOT",R125="NOT",R126="NOT",R127="NOT",R128="NOT",R114="NOT"),"NOT",D112)</f>
        <v>NOT</v>
      </c>
      <c r="S118" s="255" t="str">
        <f>IF(AND(S119="NOT",S120="NOT",S121="NOT",S122="NOT",S123="NOT",S124="NOT",S125="NOT",S126="NOT",S127="NOT",S128="NOT",R114="NOT"),"NOT",D112)</f>
        <v>NOT</v>
      </c>
      <c r="T118" s="255" t="str">
        <f>IF(AND(T119="NOT",T120="NOT",T121="NOT",T122="NOT",T123="NOT",T124="NOT",T125="NOT",T126="NOT",T127="NOT",T128="NOT",R114="NOT"),"NOT",D112)</f>
        <v>NOT</v>
      </c>
    </row>
    <row r="119" spans="1:22" x14ac:dyDescent="0.2">
      <c r="B119" s="520"/>
      <c r="C119" s="88"/>
      <c r="D119" s="260"/>
      <c r="E119" s="243"/>
      <c r="F119" s="261"/>
      <c r="G119" s="243"/>
      <c r="H119" s="262"/>
      <c r="I119" s="243"/>
      <c r="J119" s="262"/>
      <c r="K119" s="88"/>
      <c r="L119" s="143">
        <f t="shared" ref="L119:L128" si="18">TRUNC(H119*J119,2)</f>
        <v>0</v>
      </c>
      <c r="N119" s="81"/>
      <c r="R119" s="79" t="str">
        <f t="shared" ref="R119:R128" si="19">IF(AND(($L119&gt;0),ISBLANK(B119)),B119,"NOT")</f>
        <v>NOT</v>
      </c>
      <c r="S119" s="79" t="str">
        <f t="shared" ref="S119:S128" si="20">IF(AND(($L119&gt;0),ISBLANK(D119)),D119,"NOT")</f>
        <v>NOT</v>
      </c>
      <c r="T119" s="79" t="str">
        <f t="shared" ref="T119:T128" si="21">IF(AND(($L119&gt;0),ISBLANK(F119)),F119,"NOT")</f>
        <v>NOT</v>
      </c>
      <c r="V119" s="79" t="str">
        <f t="shared" ref="V119:V128" si="22">LEFT(D119,3)</f>
        <v/>
      </c>
    </row>
    <row r="120" spans="1:22" x14ac:dyDescent="0.2">
      <c r="B120" s="259"/>
      <c r="C120" s="88"/>
      <c r="D120" s="260"/>
      <c r="E120" s="243"/>
      <c r="F120" s="261"/>
      <c r="G120" s="243"/>
      <c r="H120" s="262"/>
      <c r="I120" s="243"/>
      <c r="J120" s="262"/>
      <c r="K120" s="88"/>
      <c r="L120" s="143">
        <f t="shared" si="18"/>
        <v>0</v>
      </c>
      <c r="N120" s="81"/>
      <c r="R120" s="79" t="str">
        <f t="shared" si="19"/>
        <v>NOT</v>
      </c>
      <c r="S120" s="79" t="str">
        <f t="shared" si="20"/>
        <v>NOT</v>
      </c>
      <c r="T120" s="79" t="str">
        <f t="shared" si="21"/>
        <v>NOT</v>
      </c>
      <c r="V120" s="79" t="str">
        <f t="shared" si="22"/>
        <v/>
      </c>
    </row>
    <row r="121" spans="1:22" x14ac:dyDescent="0.2">
      <c r="B121" s="259"/>
      <c r="C121" s="88"/>
      <c r="D121" s="260"/>
      <c r="E121" s="243"/>
      <c r="F121" s="261"/>
      <c r="G121" s="243"/>
      <c r="H121" s="262"/>
      <c r="I121" s="243"/>
      <c r="J121" s="262"/>
      <c r="K121" s="88"/>
      <c r="L121" s="143">
        <f t="shared" si="18"/>
        <v>0</v>
      </c>
      <c r="N121" s="81"/>
      <c r="R121" s="79" t="str">
        <f t="shared" si="19"/>
        <v>NOT</v>
      </c>
      <c r="S121" s="79" t="str">
        <f t="shared" si="20"/>
        <v>NOT</v>
      </c>
      <c r="T121" s="79" t="str">
        <f t="shared" si="21"/>
        <v>NOT</v>
      </c>
      <c r="V121" s="79" t="str">
        <f t="shared" si="22"/>
        <v/>
      </c>
    </row>
    <row r="122" spans="1:22" x14ac:dyDescent="0.2">
      <c r="B122" s="259"/>
      <c r="C122" s="88"/>
      <c r="D122" s="260"/>
      <c r="E122" s="243"/>
      <c r="F122" s="261"/>
      <c r="G122" s="243"/>
      <c r="H122" s="262"/>
      <c r="I122" s="243"/>
      <c r="J122" s="262"/>
      <c r="K122" s="88"/>
      <c r="L122" s="143">
        <f t="shared" si="18"/>
        <v>0</v>
      </c>
      <c r="N122" s="81"/>
      <c r="R122" s="79" t="str">
        <f t="shared" si="19"/>
        <v>NOT</v>
      </c>
      <c r="S122" s="79" t="str">
        <f t="shared" si="20"/>
        <v>NOT</v>
      </c>
      <c r="T122" s="79" t="str">
        <f t="shared" si="21"/>
        <v>NOT</v>
      </c>
      <c r="V122" s="79" t="str">
        <f t="shared" si="22"/>
        <v/>
      </c>
    </row>
    <row r="123" spans="1:22" x14ac:dyDescent="0.2">
      <c r="B123" s="259"/>
      <c r="C123" s="88"/>
      <c r="D123" s="260"/>
      <c r="E123" s="243"/>
      <c r="F123" s="261"/>
      <c r="G123" s="243"/>
      <c r="H123" s="262"/>
      <c r="I123" s="243"/>
      <c r="J123" s="262"/>
      <c r="K123" s="88"/>
      <c r="L123" s="143">
        <f t="shared" si="18"/>
        <v>0</v>
      </c>
      <c r="N123" s="81"/>
      <c r="R123" s="79" t="str">
        <f t="shared" si="19"/>
        <v>NOT</v>
      </c>
      <c r="S123" s="79" t="str">
        <f t="shared" si="20"/>
        <v>NOT</v>
      </c>
      <c r="T123" s="79" t="str">
        <f t="shared" si="21"/>
        <v>NOT</v>
      </c>
      <c r="V123" s="79" t="str">
        <f t="shared" si="22"/>
        <v/>
      </c>
    </row>
    <row r="124" spans="1:22" x14ac:dyDescent="0.2">
      <c r="B124" s="259"/>
      <c r="C124" s="88"/>
      <c r="D124" s="260"/>
      <c r="E124" s="243"/>
      <c r="F124" s="261"/>
      <c r="G124" s="243"/>
      <c r="H124" s="262"/>
      <c r="I124" s="243"/>
      <c r="J124" s="262"/>
      <c r="K124" s="88"/>
      <c r="L124" s="143">
        <f t="shared" si="18"/>
        <v>0</v>
      </c>
      <c r="N124" s="81"/>
      <c r="R124" s="79" t="str">
        <f t="shared" si="19"/>
        <v>NOT</v>
      </c>
      <c r="S124" s="79" t="str">
        <f t="shared" si="20"/>
        <v>NOT</v>
      </c>
      <c r="T124" s="79" t="str">
        <f t="shared" si="21"/>
        <v>NOT</v>
      </c>
      <c r="V124" s="79" t="str">
        <f t="shared" si="22"/>
        <v/>
      </c>
    </row>
    <row r="125" spans="1:22" x14ac:dyDescent="0.2">
      <c r="B125" s="259"/>
      <c r="C125" s="88"/>
      <c r="D125" s="260"/>
      <c r="E125" s="243"/>
      <c r="F125" s="261"/>
      <c r="G125" s="243"/>
      <c r="H125" s="262"/>
      <c r="I125" s="243"/>
      <c r="J125" s="262"/>
      <c r="K125" s="88"/>
      <c r="L125" s="143">
        <f t="shared" si="18"/>
        <v>0</v>
      </c>
      <c r="N125" s="81"/>
      <c r="R125" s="79" t="str">
        <f t="shared" si="19"/>
        <v>NOT</v>
      </c>
      <c r="S125" s="79" t="str">
        <f t="shared" si="20"/>
        <v>NOT</v>
      </c>
      <c r="T125" s="79" t="str">
        <f t="shared" si="21"/>
        <v>NOT</v>
      </c>
      <c r="V125" s="79" t="str">
        <f t="shared" si="22"/>
        <v/>
      </c>
    </row>
    <row r="126" spans="1:22" x14ac:dyDescent="0.2">
      <c r="B126" s="259"/>
      <c r="C126" s="88"/>
      <c r="D126" s="260"/>
      <c r="E126" s="243"/>
      <c r="F126" s="261"/>
      <c r="G126" s="243"/>
      <c r="H126" s="262"/>
      <c r="I126" s="243"/>
      <c r="J126" s="262"/>
      <c r="K126" s="88"/>
      <c r="L126" s="143">
        <f t="shared" si="18"/>
        <v>0</v>
      </c>
      <c r="N126" s="81"/>
      <c r="R126" s="79" t="str">
        <f t="shared" si="19"/>
        <v>NOT</v>
      </c>
      <c r="S126" s="79" t="str">
        <f t="shared" si="20"/>
        <v>NOT</v>
      </c>
      <c r="T126" s="79" t="str">
        <f t="shared" si="21"/>
        <v>NOT</v>
      </c>
      <c r="V126" s="79" t="str">
        <f t="shared" si="22"/>
        <v/>
      </c>
    </row>
    <row r="127" spans="1:22" x14ac:dyDescent="0.2">
      <c r="B127" s="259"/>
      <c r="C127" s="88"/>
      <c r="D127" s="260"/>
      <c r="E127" s="243"/>
      <c r="F127" s="261"/>
      <c r="G127" s="243"/>
      <c r="H127" s="262"/>
      <c r="I127" s="243"/>
      <c r="J127" s="262"/>
      <c r="K127" s="88"/>
      <c r="L127" s="143">
        <f t="shared" si="18"/>
        <v>0</v>
      </c>
      <c r="N127" s="81"/>
      <c r="R127" s="79" t="str">
        <f t="shared" si="19"/>
        <v>NOT</v>
      </c>
      <c r="S127" s="79" t="str">
        <f t="shared" si="20"/>
        <v>NOT</v>
      </c>
      <c r="T127" s="79" t="str">
        <f t="shared" si="21"/>
        <v>NOT</v>
      </c>
      <c r="V127" s="79" t="str">
        <f t="shared" si="22"/>
        <v/>
      </c>
    </row>
    <row r="128" spans="1:22" x14ac:dyDescent="0.2">
      <c r="B128" s="259"/>
      <c r="C128" s="88"/>
      <c r="D128" s="260"/>
      <c r="E128" s="243"/>
      <c r="F128" s="261"/>
      <c r="G128" s="243"/>
      <c r="H128" s="262"/>
      <c r="I128" s="243"/>
      <c r="J128" s="262"/>
      <c r="K128" s="88"/>
      <c r="L128" s="143">
        <f t="shared" si="18"/>
        <v>0</v>
      </c>
      <c r="N128" s="81"/>
      <c r="R128" s="79" t="str">
        <f t="shared" si="19"/>
        <v>NOT</v>
      </c>
      <c r="S128" s="79" t="str">
        <f t="shared" si="20"/>
        <v>NOT</v>
      </c>
      <c r="T128" s="79" t="str">
        <f t="shared" si="21"/>
        <v>NOT</v>
      </c>
      <c r="V128" s="79" t="str">
        <f t="shared" si="22"/>
        <v/>
      </c>
    </row>
    <row r="129" spans="1:22" s="76" customFormat="1" ht="12.75" customHeight="1" x14ac:dyDescent="0.2">
      <c r="A129" s="87"/>
      <c r="B129" s="88"/>
      <c r="C129" s="88"/>
      <c r="D129" s="70"/>
      <c r="E129" s="70"/>
      <c r="F129" s="70"/>
      <c r="G129" s="70"/>
      <c r="H129" s="70"/>
      <c r="I129" s="70"/>
      <c r="J129" s="70"/>
      <c r="K129" s="88"/>
      <c r="L129" s="70"/>
      <c r="M129" s="70"/>
      <c r="N129" s="70"/>
      <c r="O129" s="89"/>
      <c r="V129" s="79"/>
    </row>
    <row r="130" spans="1:22" ht="28.5" customHeight="1" x14ac:dyDescent="0.2">
      <c r="A130" s="276"/>
      <c r="B130" s="278" t="s">
        <v>295</v>
      </c>
      <c r="C130" s="277"/>
      <c r="D130" s="747" t="s">
        <v>166</v>
      </c>
      <c r="E130" s="748"/>
      <c r="F130" s="748"/>
      <c r="G130" s="748"/>
      <c r="H130" s="748"/>
      <c r="I130" s="279"/>
      <c r="J130" s="280" t="s">
        <v>18</v>
      </c>
      <c r="K130" s="88"/>
      <c r="L130" s="156">
        <f>SUM(L137:L146)</f>
        <v>32000</v>
      </c>
      <c r="M130" s="246"/>
      <c r="N130" s="147">
        <f>IF(L130=0,0%,L130/L$8)</f>
        <v>0.21978248402284364</v>
      </c>
      <c r="O130" s="495">
        <f>IF(LEN(R130)&gt;3,1,0)</f>
        <v>0</v>
      </c>
      <c r="R130" s="79" t="str">
        <f>IF(AND(R136="NOT",S136="NOT",T136="NOT"),"NOT",D130)</f>
        <v>NOT</v>
      </c>
    </row>
    <row r="131" spans="1:22" s="76" customFormat="1" ht="3" customHeight="1" x14ac:dyDescent="0.2">
      <c r="A131" s="87"/>
      <c r="B131" s="88"/>
      <c r="C131" s="88"/>
      <c r="D131" s="70"/>
      <c r="E131" s="70"/>
      <c r="F131" s="70"/>
      <c r="G131" s="70"/>
      <c r="H131" s="70"/>
      <c r="I131" s="70"/>
      <c r="J131" s="70"/>
      <c r="K131" s="88"/>
      <c r="L131" s="70"/>
      <c r="M131" s="70"/>
      <c r="N131" s="70"/>
      <c r="O131" s="89"/>
      <c r="V131" s="79"/>
    </row>
    <row r="132" spans="1:22" ht="27.75" customHeight="1" x14ac:dyDescent="0.2">
      <c r="B132" s="742" t="s">
        <v>198</v>
      </c>
      <c r="C132" s="743"/>
      <c r="D132" s="743"/>
      <c r="E132" s="743"/>
      <c r="F132" s="743"/>
      <c r="H132" s="81"/>
      <c r="J132" s="81"/>
      <c r="K132" s="88"/>
      <c r="L132" s="81"/>
      <c r="N132" s="227"/>
      <c r="R132" s="79" t="str">
        <f>IF(AND(($L130&gt;0),ISBLANK(B134)),B132,"NOT")</f>
        <v>NOT</v>
      </c>
    </row>
    <row r="133" spans="1:22" ht="3" customHeight="1" x14ac:dyDescent="0.2">
      <c r="B133" s="104"/>
      <c r="C133" s="88"/>
      <c r="D133" s="81"/>
      <c r="F133" s="81"/>
      <c r="H133" s="81"/>
      <c r="J133" s="81"/>
      <c r="K133" s="88"/>
      <c r="L133" s="81"/>
      <c r="N133" s="227"/>
    </row>
    <row r="134" spans="1:22" ht="81" customHeight="1" x14ac:dyDescent="0.2">
      <c r="B134" s="797" t="s">
        <v>867</v>
      </c>
      <c r="C134" s="798"/>
      <c r="D134" s="798"/>
      <c r="E134" s="798"/>
      <c r="F134" s="798"/>
      <c r="G134" s="798"/>
      <c r="H134" s="798"/>
      <c r="I134" s="798"/>
      <c r="J134" s="798"/>
      <c r="K134" s="798"/>
      <c r="L134" s="799"/>
      <c r="M134" s="70" t="s">
        <v>19</v>
      </c>
      <c r="N134" s="227"/>
    </row>
    <row r="135" spans="1:22" ht="3.75" customHeight="1" x14ac:dyDescent="0.2">
      <c r="B135" s="104"/>
      <c r="C135" s="88"/>
      <c r="D135" s="81"/>
      <c r="F135" s="81"/>
      <c r="H135" s="81"/>
      <c r="J135" s="81"/>
      <c r="K135" s="88"/>
      <c r="L135" s="81"/>
      <c r="N135" s="227"/>
    </row>
    <row r="136" spans="1:22" ht="38.25" x14ac:dyDescent="0.2">
      <c r="B136" s="244" t="s">
        <v>199</v>
      </c>
      <c r="C136" s="88"/>
      <c r="D136" s="244" t="s">
        <v>580</v>
      </c>
      <c r="F136" s="244" t="s">
        <v>205</v>
      </c>
      <c r="H136" s="244" t="s">
        <v>16</v>
      </c>
      <c r="J136" s="244" t="s">
        <v>15</v>
      </c>
      <c r="K136" s="245"/>
      <c r="L136" s="103" t="s">
        <v>141</v>
      </c>
      <c r="N136" s="81"/>
      <c r="R136" s="255" t="str">
        <f>IF(AND(R137="NOT",R138="NOT",R139="NOT",R140="NOT",R141="NOT",R142="NOT",R143="NOT",R144="NOT",R145="NOT",R146="NOT",R132="NOT"),"NOT",D130)</f>
        <v>NOT</v>
      </c>
      <c r="S136" s="255" t="str">
        <f>IF(AND(S137="NOT",S138="NOT",S139="NOT",S140="NOT",S141="NOT",S142="NOT",S143="NOT",S144="NOT",S145="NOT",S146="NOT",R132="NOT"),"NOT",D130)</f>
        <v>NOT</v>
      </c>
      <c r="T136" s="255" t="str">
        <f>IF(AND(T137="NOT",T138="NOT",T139="NOT",T140="NOT",T141="NOT",T142="NOT",T143="NOT",T144="NOT",T145="NOT",T146="NOT",R132="NOT"),"NOT",D130)</f>
        <v>NOT</v>
      </c>
    </row>
    <row r="137" spans="1:22" ht="38.25" x14ac:dyDescent="0.2">
      <c r="B137" s="526" t="s">
        <v>868</v>
      </c>
      <c r="C137" s="88"/>
      <c r="D137" s="260" t="s">
        <v>766</v>
      </c>
      <c r="E137" s="243"/>
      <c r="F137" s="261" t="s">
        <v>786</v>
      </c>
      <c r="G137" s="243"/>
      <c r="H137" s="262">
        <v>2</v>
      </c>
      <c r="I137" s="243"/>
      <c r="J137" s="262">
        <v>2500</v>
      </c>
      <c r="K137" s="88"/>
      <c r="L137" s="143">
        <f t="shared" ref="L137:L146" si="23">TRUNC(H137*J137,2)</f>
        <v>5000</v>
      </c>
      <c r="N137" s="81"/>
      <c r="R137" s="79" t="str">
        <f t="shared" ref="R137:R146" si="24">IF(AND(($L137&gt;0),ISBLANK(B137)),B137,"NOT")</f>
        <v>NOT</v>
      </c>
      <c r="S137" s="79" t="str">
        <f t="shared" ref="S137:S146" si="25">IF(AND(($L137&gt;0),ISBLANK(D137)),D137,"NOT")</f>
        <v>NOT</v>
      </c>
      <c r="T137" s="79" t="str">
        <f t="shared" ref="T137:T146" si="26">IF(AND(($L137&gt;0),ISBLANK(F137)),F137,"NOT")</f>
        <v>NOT</v>
      </c>
      <c r="V137" s="79" t="str">
        <f t="shared" ref="V137:V160" si="27">LEFT(D137,3)</f>
        <v xml:space="preserve">8. </v>
      </c>
    </row>
    <row r="138" spans="1:22" ht="25.5" x14ac:dyDescent="0.2">
      <c r="B138" s="526" t="s">
        <v>869</v>
      </c>
      <c r="C138" s="88"/>
      <c r="D138" s="260" t="s">
        <v>724</v>
      </c>
      <c r="E138" s="243"/>
      <c r="F138" s="261" t="s">
        <v>786</v>
      </c>
      <c r="G138" s="243"/>
      <c r="H138" s="262">
        <v>3</v>
      </c>
      <c r="I138" s="243"/>
      <c r="J138" s="262">
        <v>500</v>
      </c>
      <c r="K138" s="88"/>
      <c r="L138" s="143">
        <f t="shared" si="23"/>
        <v>1500</v>
      </c>
      <c r="N138" s="81"/>
      <c r="R138" s="79" t="str">
        <f t="shared" si="24"/>
        <v>NOT</v>
      </c>
      <c r="S138" s="79" t="str">
        <f t="shared" si="25"/>
        <v>NOT</v>
      </c>
      <c r="T138" s="79" t="str">
        <f t="shared" si="26"/>
        <v>NOT</v>
      </c>
      <c r="V138" s="79" t="str">
        <f t="shared" si="27"/>
        <v xml:space="preserve">1. </v>
      </c>
    </row>
    <row r="139" spans="1:22" ht="38.25" x14ac:dyDescent="0.2">
      <c r="B139" s="526" t="s">
        <v>870</v>
      </c>
      <c r="C139" s="88"/>
      <c r="D139" s="260" t="s">
        <v>898</v>
      </c>
      <c r="E139" s="243"/>
      <c r="F139" s="261" t="s">
        <v>786</v>
      </c>
      <c r="G139" s="243"/>
      <c r="H139" s="262">
        <v>1</v>
      </c>
      <c r="I139" s="243"/>
      <c r="J139" s="262">
        <v>500</v>
      </c>
      <c r="K139" s="88"/>
      <c r="L139" s="143">
        <f t="shared" si="23"/>
        <v>500</v>
      </c>
      <c r="N139" s="81"/>
      <c r="R139" s="79" t="str">
        <f t="shared" si="24"/>
        <v>NOT</v>
      </c>
      <c r="S139" s="79" t="str">
        <f t="shared" si="25"/>
        <v>NOT</v>
      </c>
      <c r="T139" s="79" t="str">
        <f t="shared" si="26"/>
        <v>NOT</v>
      </c>
      <c r="V139" s="79" t="str">
        <f t="shared" si="27"/>
        <v>10.</v>
      </c>
    </row>
    <row r="140" spans="1:22" ht="38.25" x14ac:dyDescent="0.2">
      <c r="B140" s="526" t="s">
        <v>871</v>
      </c>
      <c r="C140" s="88"/>
      <c r="D140" s="260" t="s">
        <v>768</v>
      </c>
      <c r="E140" s="243"/>
      <c r="F140" s="261" t="s">
        <v>786</v>
      </c>
      <c r="G140" s="243"/>
      <c r="H140" s="262">
        <v>1</v>
      </c>
      <c r="I140" s="243"/>
      <c r="J140" s="262">
        <v>10000</v>
      </c>
      <c r="K140" s="88"/>
      <c r="L140" s="143">
        <f t="shared" si="23"/>
        <v>10000</v>
      </c>
      <c r="N140" s="81"/>
      <c r="R140" s="79" t="str">
        <f t="shared" si="24"/>
        <v>NOT</v>
      </c>
      <c r="S140" s="79" t="str">
        <f t="shared" si="25"/>
        <v>NOT</v>
      </c>
      <c r="T140" s="79" t="str">
        <f t="shared" si="26"/>
        <v>NOT</v>
      </c>
      <c r="V140" s="79" t="str">
        <f t="shared" si="27"/>
        <v xml:space="preserve">6. </v>
      </c>
    </row>
    <row r="141" spans="1:22" ht="38.25" x14ac:dyDescent="0.2">
      <c r="B141" s="526" t="s">
        <v>872</v>
      </c>
      <c r="C141" s="88"/>
      <c r="D141" s="260" t="s">
        <v>768</v>
      </c>
      <c r="E141" s="243"/>
      <c r="F141" s="261" t="s">
        <v>786</v>
      </c>
      <c r="G141" s="243"/>
      <c r="H141" s="262">
        <v>1</v>
      </c>
      <c r="I141" s="243"/>
      <c r="J141" s="262">
        <v>15000</v>
      </c>
      <c r="K141" s="88"/>
      <c r="L141" s="143">
        <f t="shared" si="23"/>
        <v>15000</v>
      </c>
      <c r="N141" s="81"/>
      <c r="R141" s="79" t="str">
        <f t="shared" si="24"/>
        <v>NOT</v>
      </c>
      <c r="S141" s="79" t="str">
        <f t="shared" si="25"/>
        <v>NOT</v>
      </c>
      <c r="T141" s="79" t="str">
        <f t="shared" si="26"/>
        <v>NOT</v>
      </c>
      <c r="V141" s="79" t="str">
        <f t="shared" si="27"/>
        <v xml:space="preserve">6. </v>
      </c>
    </row>
    <row r="142" spans="1:22" x14ac:dyDescent="0.2">
      <c r="B142" s="259"/>
      <c r="C142" s="88"/>
      <c r="D142" s="260"/>
      <c r="E142" s="243"/>
      <c r="F142" s="261"/>
      <c r="G142" s="243"/>
      <c r="H142" s="262"/>
      <c r="I142" s="243"/>
      <c r="J142" s="262"/>
      <c r="K142" s="88"/>
      <c r="L142" s="143">
        <f t="shared" si="23"/>
        <v>0</v>
      </c>
      <c r="N142" s="81"/>
      <c r="R142" s="79" t="str">
        <f t="shared" si="24"/>
        <v>NOT</v>
      </c>
      <c r="S142" s="79" t="str">
        <f t="shared" si="25"/>
        <v>NOT</v>
      </c>
      <c r="T142" s="79" t="str">
        <f t="shared" si="26"/>
        <v>NOT</v>
      </c>
      <c r="V142" s="79" t="str">
        <f t="shared" si="27"/>
        <v/>
      </c>
    </row>
    <row r="143" spans="1:22" x14ac:dyDescent="0.2">
      <c r="B143" s="259"/>
      <c r="C143" s="88"/>
      <c r="D143" s="260"/>
      <c r="E143" s="243"/>
      <c r="F143" s="261"/>
      <c r="G143" s="243"/>
      <c r="H143" s="262"/>
      <c r="I143" s="243"/>
      <c r="J143" s="262"/>
      <c r="K143" s="88"/>
      <c r="L143" s="143">
        <f t="shared" si="23"/>
        <v>0</v>
      </c>
      <c r="N143" s="81"/>
      <c r="R143" s="79" t="str">
        <f t="shared" si="24"/>
        <v>NOT</v>
      </c>
      <c r="S143" s="79" t="str">
        <f t="shared" si="25"/>
        <v>NOT</v>
      </c>
      <c r="T143" s="79" t="str">
        <f t="shared" si="26"/>
        <v>NOT</v>
      </c>
      <c r="V143" s="79" t="str">
        <f t="shared" si="27"/>
        <v/>
      </c>
    </row>
    <row r="144" spans="1:22" x14ac:dyDescent="0.2">
      <c r="B144" s="259"/>
      <c r="C144" s="88"/>
      <c r="D144" s="260"/>
      <c r="E144" s="243"/>
      <c r="F144" s="261"/>
      <c r="G144" s="243"/>
      <c r="H144" s="262"/>
      <c r="I144" s="243"/>
      <c r="J144" s="262"/>
      <c r="K144" s="88"/>
      <c r="L144" s="143">
        <f t="shared" si="23"/>
        <v>0</v>
      </c>
      <c r="N144" s="81"/>
      <c r="R144" s="79" t="str">
        <f t="shared" si="24"/>
        <v>NOT</v>
      </c>
      <c r="S144" s="79" t="str">
        <f t="shared" si="25"/>
        <v>NOT</v>
      </c>
      <c r="T144" s="79" t="str">
        <f t="shared" si="26"/>
        <v>NOT</v>
      </c>
      <c r="V144" s="79" t="str">
        <f t="shared" si="27"/>
        <v/>
      </c>
    </row>
    <row r="145" spans="1:22" x14ac:dyDescent="0.2">
      <c r="B145" s="259"/>
      <c r="C145" s="88"/>
      <c r="D145" s="260"/>
      <c r="E145" s="243"/>
      <c r="F145" s="261"/>
      <c r="G145" s="243"/>
      <c r="H145" s="262"/>
      <c r="I145" s="243"/>
      <c r="J145" s="262"/>
      <c r="K145" s="88"/>
      <c r="L145" s="143">
        <f t="shared" si="23"/>
        <v>0</v>
      </c>
      <c r="N145" s="81"/>
      <c r="R145" s="79" t="str">
        <f t="shared" si="24"/>
        <v>NOT</v>
      </c>
      <c r="S145" s="79" t="str">
        <f t="shared" si="25"/>
        <v>NOT</v>
      </c>
      <c r="T145" s="79" t="str">
        <f t="shared" si="26"/>
        <v>NOT</v>
      </c>
      <c r="V145" s="79" t="str">
        <f t="shared" si="27"/>
        <v/>
      </c>
    </row>
    <row r="146" spans="1:22" x14ac:dyDescent="0.2">
      <c r="B146" s="259"/>
      <c r="C146" s="88"/>
      <c r="D146" s="260"/>
      <c r="E146" s="243"/>
      <c r="F146" s="261"/>
      <c r="G146" s="243"/>
      <c r="H146" s="262"/>
      <c r="I146" s="243"/>
      <c r="J146" s="262"/>
      <c r="K146" s="88"/>
      <c r="L146" s="143">
        <f t="shared" si="23"/>
        <v>0</v>
      </c>
      <c r="N146" s="81"/>
      <c r="R146" s="79" t="str">
        <f t="shared" si="24"/>
        <v>NOT</v>
      </c>
      <c r="S146" s="79" t="str">
        <f t="shared" si="25"/>
        <v>NOT</v>
      </c>
      <c r="T146" s="79" t="str">
        <f t="shared" si="26"/>
        <v>NOT</v>
      </c>
      <c r="V146" s="79" t="str">
        <f t="shared" si="27"/>
        <v/>
      </c>
    </row>
    <row r="147" spans="1:22" s="76" customFormat="1" x14ac:dyDescent="0.2">
      <c r="A147" s="87"/>
      <c r="B147" s="88"/>
      <c r="C147" s="88"/>
      <c r="D147" s="70"/>
      <c r="E147" s="70"/>
      <c r="F147" s="70"/>
      <c r="G147" s="70"/>
      <c r="H147" s="70"/>
      <c r="I147" s="70"/>
      <c r="J147" s="70"/>
      <c r="K147" s="88"/>
      <c r="L147" s="70"/>
      <c r="M147" s="70"/>
      <c r="N147" s="70"/>
      <c r="O147" s="89"/>
      <c r="V147" s="79"/>
    </row>
    <row r="148" spans="1:22" ht="28.5" customHeight="1" x14ac:dyDescent="0.2">
      <c r="A148" s="276"/>
      <c r="B148" s="278" t="s">
        <v>293</v>
      </c>
      <c r="C148" s="277"/>
      <c r="D148" s="747" t="s">
        <v>166</v>
      </c>
      <c r="E148" s="748"/>
      <c r="F148" s="748"/>
      <c r="G148" s="748"/>
      <c r="H148" s="748"/>
      <c r="I148" s="279"/>
      <c r="J148" s="280" t="s">
        <v>18</v>
      </c>
      <c r="K148" s="88"/>
      <c r="L148" s="156">
        <f>SUM(L155:L160)</f>
        <v>0</v>
      </c>
      <c r="M148" s="246"/>
      <c r="N148" s="147">
        <f>IF(L148=0,0%,L148/L$8)</f>
        <v>0</v>
      </c>
      <c r="O148" s="495">
        <f>IF(LEN(R148)&gt;3,1,0)</f>
        <v>0</v>
      </c>
      <c r="R148" s="79" t="str">
        <f>IF(AND(R154="NOT",S154="NOT",T154="NOT"),"NOT",D148)</f>
        <v>NOT</v>
      </c>
    </row>
    <row r="149" spans="1:22" s="76" customFormat="1" ht="3" customHeight="1" x14ac:dyDescent="0.2">
      <c r="A149" s="87"/>
      <c r="B149" s="788"/>
      <c r="C149" s="789"/>
      <c r="D149" s="789"/>
      <c r="E149" s="789"/>
      <c r="F149" s="789"/>
      <c r="G149" s="789"/>
      <c r="H149" s="789"/>
      <c r="I149" s="789"/>
      <c r="J149" s="789"/>
      <c r="K149" s="789"/>
      <c r="L149" s="789"/>
      <c r="M149" s="70"/>
      <c r="N149" s="70"/>
      <c r="O149" s="353"/>
      <c r="P149" s="270"/>
      <c r="Q149" s="231" t="str">
        <f>IF(N148&gt;O149,B149,"")</f>
        <v/>
      </c>
      <c r="V149" s="79"/>
    </row>
    <row r="150" spans="1:22" x14ac:dyDescent="0.2">
      <c r="B150" s="742" t="s">
        <v>197</v>
      </c>
      <c r="C150" s="743"/>
      <c r="D150" s="743"/>
      <c r="E150" s="743"/>
      <c r="F150" s="743"/>
      <c r="H150" s="81"/>
      <c r="J150" s="81"/>
      <c r="K150" s="88"/>
      <c r="L150" s="81"/>
      <c r="N150" s="227"/>
      <c r="R150" s="79" t="str">
        <f>IF(AND(($L148&gt;0),ISBLANK(B152)),B150,"NOT")</f>
        <v>NOT</v>
      </c>
    </row>
    <row r="151" spans="1:22" ht="3" customHeight="1" x14ac:dyDescent="0.2">
      <c r="B151" s="104"/>
      <c r="C151" s="88"/>
      <c r="D151" s="81"/>
      <c r="F151" s="81"/>
      <c r="H151" s="81"/>
      <c r="J151" s="81"/>
      <c r="K151" s="88"/>
      <c r="L151" s="81"/>
      <c r="N151" s="227"/>
    </row>
    <row r="152" spans="1:22" ht="60" customHeight="1" x14ac:dyDescent="0.2">
      <c r="B152" s="744"/>
      <c r="C152" s="745"/>
      <c r="D152" s="745"/>
      <c r="E152" s="745"/>
      <c r="F152" s="745"/>
      <c r="G152" s="745"/>
      <c r="H152" s="745"/>
      <c r="I152" s="745"/>
      <c r="J152" s="745"/>
      <c r="K152" s="745"/>
      <c r="L152" s="746"/>
      <c r="M152" s="70" t="s">
        <v>19</v>
      </c>
      <c r="N152" s="227"/>
    </row>
    <row r="153" spans="1:22" ht="3.75" customHeight="1" x14ac:dyDescent="0.2">
      <c r="B153" s="104"/>
      <c r="C153" s="88"/>
      <c r="D153" s="81"/>
      <c r="F153" s="81"/>
      <c r="H153" s="81"/>
      <c r="J153" s="81"/>
      <c r="K153" s="88"/>
      <c r="L153" s="81"/>
      <c r="N153" s="227"/>
    </row>
    <row r="154" spans="1:22" ht="25.5" x14ac:dyDescent="0.2">
      <c r="B154" s="244" t="s">
        <v>202</v>
      </c>
      <c r="C154" s="88"/>
      <c r="D154" s="244" t="s">
        <v>580</v>
      </c>
      <c r="F154" s="244" t="s">
        <v>205</v>
      </c>
      <c r="H154" s="244" t="s">
        <v>16</v>
      </c>
      <c r="J154" s="244" t="s">
        <v>15</v>
      </c>
      <c r="K154" s="245"/>
      <c r="L154" s="103" t="s">
        <v>141</v>
      </c>
      <c r="N154" s="81"/>
      <c r="R154" s="255" t="str">
        <f>IF(AND(R155="NOT",R156="NOT",R157="NOT",R158="NOT",R159="NOT",R160="NOT",R150="NOT"),"NOT",D148)</f>
        <v>NOT</v>
      </c>
      <c r="S154" s="255" t="str">
        <f>IF(AND(S155="NOT",S156="NOT",S157="NOT",S158="NOT",S159="NOT",S160="NOT",R150="NOT"),"NOT",D148)</f>
        <v>NOT</v>
      </c>
      <c r="T154" s="255" t="str">
        <f>IF(AND(T155="NOT",T156="NOT",T157="NOT",T158="NOT",T159="NOT",T160="NOT",R150="NOT"),"NOT",D148)</f>
        <v>NOT</v>
      </c>
    </row>
    <row r="155" spans="1:22" x14ac:dyDescent="0.2">
      <c r="B155" s="259"/>
      <c r="C155" s="88"/>
      <c r="D155" s="260"/>
      <c r="E155" s="243"/>
      <c r="F155" s="261"/>
      <c r="G155" s="243"/>
      <c r="H155" s="262"/>
      <c r="I155" s="243"/>
      <c r="J155" s="262"/>
      <c r="K155" s="88"/>
      <c r="L155" s="143">
        <f t="shared" ref="L155:L160" si="28">TRUNC(H155*J155,2)</f>
        <v>0</v>
      </c>
      <c r="N155" s="81"/>
      <c r="R155" s="79" t="str">
        <f t="shared" ref="R155:R160" si="29">IF(AND(($L155&gt;0),ISBLANK(B155)),B155,"NOT")</f>
        <v>NOT</v>
      </c>
      <c r="S155" s="79" t="str">
        <f t="shared" ref="S155:S160" si="30">IF(AND(($L155&gt;0),ISBLANK(D155)),D155,"NOT")</f>
        <v>NOT</v>
      </c>
      <c r="T155" s="79" t="str">
        <f t="shared" ref="T155:T160" si="31">IF(AND(($L155&gt;0),ISBLANK(F155)),F155,"NOT")</f>
        <v>NOT</v>
      </c>
      <c r="V155" s="79" t="str">
        <f t="shared" si="27"/>
        <v/>
      </c>
    </row>
    <row r="156" spans="1:22" x14ac:dyDescent="0.2">
      <c r="B156" s="259"/>
      <c r="C156" s="88"/>
      <c r="D156" s="260"/>
      <c r="E156" s="243"/>
      <c r="F156" s="261"/>
      <c r="G156" s="243"/>
      <c r="H156" s="262"/>
      <c r="I156" s="243"/>
      <c r="J156" s="262"/>
      <c r="K156" s="88"/>
      <c r="L156" s="143">
        <f t="shared" si="28"/>
        <v>0</v>
      </c>
      <c r="N156" s="81"/>
      <c r="R156" s="79" t="str">
        <f t="shared" si="29"/>
        <v>NOT</v>
      </c>
      <c r="S156" s="79" t="str">
        <f t="shared" si="30"/>
        <v>NOT</v>
      </c>
      <c r="T156" s="79" t="str">
        <f t="shared" si="31"/>
        <v>NOT</v>
      </c>
      <c r="V156" s="79" t="str">
        <f t="shared" si="27"/>
        <v/>
      </c>
    </row>
    <row r="157" spans="1:22" x14ac:dyDescent="0.2">
      <c r="B157" s="259"/>
      <c r="C157" s="88"/>
      <c r="D157" s="260"/>
      <c r="E157" s="243"/>
      <c r="F157" s="261"/>
      <c r="G157" s="243"/>
      <c r="H157" s="262"/>
      <c r="I157" s="243"/>
      <c r="J157" s="262"/>
      <c r="K157" s="88"/>
      <c r="L157" s="143">
        <f t="shared" si="28"/>
        <v>0</v>
      </c>
      <c r="N157" s="81"/>
      <c r="R157" s="79" t="str">
        <f t="shared" si="29"/>
        <v>NOT</v>
      </c>
      <c r="S157" s="79" t="str">
        <f t="shared" si="30"/>
        <v>NOT</v>
      </c>
      <c r="T157" s="79" t="str">
        <f t="shared" si="31"/>
        <v>NOT</v>
      </c>
      <c r="V157" s="79" t="str">
        <f t="shared" si="27"/>
        <v/>
      </c>
    </row>
    <row r="158" spans="1:22" x14ac:dyDescent="0.2">
      <c r="B158" s="259"/>
      <c r="C158" s="88"/>
      <c r="D158" s="260"/>
      <c r="E158" s="243"/>
      <c r="F158" s="261"/>
      <c r="G158" s="243"/>
      <c r="H158" s="262"/>
      <c r="I158" s="243"/>
      <c r="J158" s="262"/>
      <c r="K158" s="88"/>
      <c r="L158" s="143">
        <f t="shared" si="28"/>
        <v>0</v>
      </c>
      <c r="N158" s="81"/>
      <c r="R158" s="79" t="str">
        <f t="shared" si="29"/>
        <v>NOT</v>
      </c>
      <c r="S158" s="79" t="str">
        <f t="shared" si="30"/>
        <v>NOT</v>
      </c>
      <c r="T158" s="79" t="str">
        <f t="shared" si="31"/>
        <v>NOT</v>
      </c>
      <c r="V158" s="79" t="str">
        <f t="shared" si="27"/>
        <v/>
      </c>
    </row>
    <row r="159" spans="1:22" x14ac:dyDescent="0.2">
      <c r="B159" s="259"/>
      <c r="C159" s="88"/>
      <c r="D159" s="260"/>
      <c r="E159" s="243"/>
      <c r="F159" s="261"/>
      <c r="G159" s="243"/>
      <c r="H159" s="262"/>
      <c r="I159" s="243"/>
      <c r="J159" s="262"/>
      <c r="K159" s="88"/>
      <c r="L159" s="143">
        <f t="shared" si="28"/>
        <v>0</v>
      </c>
      <c r="N159" s="81"/>
      <c r="R159" s="79" t="str">
        <f t="shared" si="29"/>
        <v>NOT</v>
      </c>
      <c r="S159" s="79" t="str">
        <f t="shared" si="30"/>
        <v>NOT</v>
      </c>
      <c r="T159" s="79" t="str">
        <f t="shared" si="31"/>
        <v>NOT</v>
      </c>
      <c r="V159" s="79" t="str">
        <f t="shared" si="27"/>
        <v/>
      </c>
    </row>
    <row r="160" spans="1:22" x14ac:dyDescent="0.2">
      <c r="B160" s="259"/>
      <c r="C160" s="88"/>
      <c r="D160" s="260"/>
      <c r="E160" s="243"/>
      <c r="F160" s="261"/>
      <c r="G160" s="243"/>
      <c r="H160" s="262"/>
      <c r="I160" s="243"/>
      <c r="J160" s="262"/>
      <c r="K160" s="88"/>
      <c r="L160" s="143">
        <f t="shared" si="28"/>
        <v>0</v>
      </c>
      <c r="N160" s="81"/>
      <c r="R160" s="79" t="str">
        <f t="shared" si="29"/>
        <v>NOT</v>
      </c>
      <c r="S160" s="79" t="str">
        <f t="shared" si="30"/>
        <v>NOT</v>
      </c>
      <c r="T160" s="79" t="str">
        <f t="shared" si="31"/>
        <v>NOT</v>
      </c>
      <c r="V160" s="79" t="str">
        <f t="shared" si="27"/>
        <v/>
      </c>
    </row>
    <row r="161" spans="1:22" s="76" customFormat="1" ht="12.75" customHeight="1" x14ac:dyDescent="0.2">
      <c r="A161" s="87"/>
      <c r="B161" s="88"/>
      <c r="C161" s="88"/>
      <c r="D161" s="70"/>
      <c r="E161" s="70"/>
      <c r="F161" s="70"/>
      <c r="G161" s="70"/>
      <c r="H161" s="70"/>
      <c r="I161" s="70"/>
      <c r="J161" s="70"/>
      <c r="K161" s="88"/>
      <c r="L161" s="70"/>
      <c r="M161" s="70"/>
      <c r="N161" s="70"/>
      <c r="O161" s="89"/>
      <c r="V161" s="79"/>
    </row>
    <row r="162" spans="1:22" ht="28.5" customHeight="1" x14ac:dyDescent="0.2">
      <c r="A162" s="276"/>
      <c r="B162" s="278" t="s">
        <v>294</v>
      </c>
      <c r="C162" s="277"/>
      <c r="D162" s="747" t="s">
        <v>166</v>
      </c>
      <c r="E162" s="748"/>
      <c r="F162" s="748"/>
      <c r="G162" s="748"/>
      <c r="H162" s="748"/>
      <c r="I162" s="279"/>
      <c r="J162" s="280" t="s">
        <v>18</v>
      </c>
      <c r="K162" s="88"/>
      <c r="L162" s="156">
        <f>SUM(L169:L172)</f>
        <v>0</v>
      </c>
      <c r="M162" s="246"/>
      <c r="N162" s="147">
        <f>IF(L162=0,0%,L162/L$8)</f>
        <v>0</v>
      </c>
      <c r="O162" s="495">
        <f>IF(LEN(R162)&gt;3,1,0)</f>
        <v>0</v>
      </c>
      <c r="R162" s="79" t="str">
        <f>IF(AND(R168="NOT",S168="NOT",T168="NOT"),"NOT",D162)</f>
        <v>NOT</v>
      </c>
    </row>
    <row r="163" spans="1:22" s="76" customFormat="1" ht="3" customHeight="1" x14ac:dyDescent="0.2">
      <c r="A163" s="87"/>
      <c r="B163" s="88"/>
      <c r="C163" s="88"/>
      <c r="D163" s="70"/>
      <c r="E163" s="70"/>
      <c r="F163" s="70"/>
      <c r="G163" s="70"/>
      <c r="H163" s="70"/>
      <c r="I163" s="70"/>
      <c r="J163" s="70"/>
      <c r="K163" s="88"/>
      <c r="L163" s="70"/>
      <c r="M163" s="70"/>
      <c r="N163" s="70"/>
      <c r="O163" s="89"/>
      <c r="V163" s="79"/>
    </row>
    <row r="164" spans="1:22" x14ac:dyDescent="0.2">
      <c r="B164" s="742" t="s">
        <v>197</v>
      </c>
      <c r="C164" s="743"/>
      <c r="D164" s="743"/>
      <c r="E164" s="743"/>
      <c r="F164" s="743"/>
      <c r="H164" s="81"/>
      <c r="J164" s="81"/>
      <c r="K164" s="88"/>
      <c r="L164" s="81"/>
      <c r="N164" s="227"/>
      <c r="R164" s="79" t="str">
        <f>IF(AND(($L162&gt;0),ISBLANK(B166)),B164,"NOT")</f>
        <v>NOT</v>
      </c>
    </row>
    <row r="165" spans="1:22" ht="3" customHeight="1" x14ac:dyDescent="0.2">
      <c r="B165" s="104"/>
      <c r="C165" s="88"/>
      <c r="D165" s="81"/>
      <c r="F165" s="81"/>
      <c r="H165" s="81"/>
      <c r="J165" s="81"/>
      <c r="K165" s="88"/>
      <c r="L165" s="81"/>
      <c r="N165" s="227"/>
    </row>
    <row r="166" spans="1:22" ht="50.25" customHeight="1" x14ac:dyDescent="0.2">
      <c r="B166" s="744"/>
      <c r="C166" s="745"/>
      <c r="D166" s="745"/>
      <c r="E166" s="745"/>
      <c r="F166" s="745"/>
      <c r="G166" s="745"/>
      <c r="H166" s="745"/>
      <c r="I166" s="745"/>
      <c r="J166" s="745"/>
      <c r="K166" s="745"/>
      <c r="L166" s="746"/>
      <c r="M166" s="70" t="s">
        <v>19</v>
      </c>
      <c r="N166" s="227"/>
    </row>
    <row r="167" spans="1:22" ht="3.75" customHeight="1" x14ac:dyDescent="0.2">
      <c r="B167" s="104"/>
      <c r="C167" s="88"/>
      <c r="D167" s="81"/>
      <c r="F167" s="81"/>
      <c r="H167" s="81"/>
      <c r="J167" s="81"/>
      <c r="K167" s="88"/>
      <c r="L167" s="81"/>
      <c r="N167" s="227"/>
    </row>
    <row r="168" spans="1:22" ht="12.75" customHeight="1" x14ac:dyDescent="0.2">
      <c r="B168" s="244" t="s">
        <v>17</v>
      </c>
      <c r="C168" s="88"/>
      <c r="D168" s="244" t="s">
        <v>580</v>
      </c>
      <c r="F168" s="244" t="s">
        <v>205</v>
      </c>
      <c r="H168" s="244" t="s">
        <v>16</v>
      </c>
      <c r="J168" s="244" t="s">
        <v>15</v>
      </c>
      <c r="K168" s="245"/>
      <c r="L168" s="103" t="s">
        <v>141</v>
      </c>
      <c r="N168" s="81"/>
      <c r="R168" s="255" t="str">
        <f>IF(AND(R169="NOT",R170="NOT",R171="NOT",R172="NOT",R164="NOT"),"NOT",D162)</f>
        <v>NOT</v>
      </c>
      <c r="S168" s="255" t="str">
        <f>IF(AND(S169="NOT",S170="NOT",S171="NOT",S172="NOT",R164="NOT"),"NOT",D162)</f>
        <v>NOT</v>
      </c>
      <c r="T168" s="255" t="str">
        <f>IF(AND(T169="NOT",T170="NOT",T171="NOT",T172="NOT",R164="NOT"),"NOT",D162)</f>
        <v>NOT</v>
      </c>
    </row>
    <row r="169" spans="1:22" x14ac:dyDescent="0.2">
      <c r="B169" s="259"/>
      <c r="C169" s="88"/>
      <c r="D169" s="260"/>
      <c r="E169" s="243"/>
      <c r="F169" s="261"/>
      <c r="G169" s="243"/>
      <c r="H169" s="262"/>
      <c r="I169" s="243"/>
      <c r="J169" s="262"/>
      <c r="K169" s="88"/>
      <c r="L169" s="143">
        <f>TRUNC(H169*J169,2)</f>
        <v>0</v>
      </c>
      <c r="N169" s="81"/>
      <c r="R169" s="79" t="str">
        <f>IF(AND(($L169&gt;0),ISBLANK(B169)),B169,"NOT")</f>
        <v>NOT</v>
      </c>
      <c r="S169" s="79" t="str">
        <f>IF(AND(($L169&gt;0),ISBLANK(D169)),D169,"NOT")</f>
        <v>NOT</v>
      </c>
      <c r="T169" s="79" t="str">
        <f>IF(AND(($L169&gt;0),ISBLANK(F169)),F169,"NOT")</f>
        <v>NOT</v>
      </c>
      <c r="V169" s="79" t="str">
        <f>LEFT(D169,3)</f>
        <v/>
      </c>
    </row>
    <row r="170" spans="1:22" x14ac:dyDescent="0.2">
      <c r="B170" s="259"/>
      <c r="C170" s="88"/>
      <c r="D170" s="260"/>
      <c r="E170" s="243"/>
      <c r="F170" s="261"/>
      <c r="G170" s="243"/>
      <c r="H170" s="262"/>
      <c r="I170" s="243"/>
      <c r="J170" s="262"/>
      <c r="K170" s="88"/>
      <c r="L170" s="143">
        <f>TRUNC(H170*J170,2)</f>
        <v>0</v>
      </c>
      <c r="N170" s="81"/>
      <c r="R170" s="79" t="str">
        <f>IF(AND(($L170&gt;0),ISBLANK(B170)),B170,"NOT")</f>
        <v>NOT</v>
      </c>
      <c r="S170" s="79" t="str">
        <f>IF(AND(($L170&gt;0),ISBLANK(D170)),D170,"NOT")</f>
        <v>NOT</v>
      </c>
      <c r="T170" s="79" t="str">
        <f>IF(AND(($L170&gt;0),ISBLANK(F170)),F170,"NOT")</f>
        <v>NOT</v>
      </c>
      <c r="V170" s="79" t="str">
        <f>LEFT(D170,3)</f>
        <v/>
      </c>
    </row>
    <row r="171" spans="1:22" x14ac:dyDescent="0.2">
      <c r="B171" s="259"/>
      <c r="C171" s="88"/>
      <c r="D171" s="260"/>
      <c r="E171" s="243"/>
      <c r="F171" s="261"/>
      <c r="G171" s="243"/>
      <c r="H171" s="262"/>
      <c r="I171" s="243"/>
      <c r="J171" s="262"/>
      <c r="K171" s="88"/>
      <c r="L171" s="143">
        <f>TRUNC(H171*J171,2)</f>
        <v>0</v>
      </c>
      <c r="N171" s="81"/>
      <c r="R171" s="79" t="str">
        <f>IF(AND(($L171&gt;0),ISBLANK(B171)),B171,"NOT")</f>
        <v>NOT</v>
      </c>
      <c r="S171" s="79" t="str">
        <f>IF(AND(($L171&gt;0),ISBLANK(D171)),D171,"NOT")</f>
        <v>NOT</v>
      </c>
      <c r="T171" s="79" t="str">
        <f>IF(AND(($L171&gt;0),ISBLANK(F171)),F171,"NOT")</f>
        <v>NOT</v>
      </c>
      <c r="V171" s="79" t="str">
        <f>LEFT(D171,3)</f>
        <v/>
      </c>
    </row>
    <row r="172" spans="1:22" x14ac:dyDescent="0.2">
      <c r="B172" s="259"/>
      <c r="C172" s="88"/>
      <c r="D172" s="260"/>
      <c r="E172" s="243"/>
      <c r="F172" s="261"/>
      <c r="G172" s="243"/>
      <c r="H172" s="262"/>
      <c r="I172" s="243"/>
      <c r="J172" s="262"/>
      <c r="K172" s="88"/>
      <c r="L172" s="143">
        <f>TRUNC(H172*J172,2)</f>
        <v>0</v>
      </c>
      <c r="N172" s="81"/>
      <c r="R172" s="79" t="str">
        <f>IF(AND(($L172&gt;0),ISBLANK(B172)),B172,"NOT")</f>
        <v>NOT</v>
      </c>
      <c r="S172" s="79" t="str">
        <f>IF(AND(($L172&gt;0),ISBLANK(D172)),D172,"NOT")</f>
        <v>NOT</v>
      </c>
      <c r="T172" s="79" t="str">
        <f>IF(AND(($L172&gt;0),ISBLANK(F172)),F172,"NOT")</f>
        <v>NOT</v>
      </c>
      <c r="V172" s="79" t="str">
        <f>LEFT(D172,3)</f>
        <v/>
      </c>
    </row>
    <row r="173" spans="1:22" s="76" customFormat="1" ht="12.75" customHeight="1" x14ac:dyDescent="0.2">
      <c r="A173" s="87"/>
      <c r="B173" s="88"/>
      <c r="C173" s="88"/>
      <c r="D173" s="70"/>
      <c r="E173" s="70"/>
      <c r="F173" s="70"/>
      <c r="G173" s="70"/>
      <c r="H173" s="70"/>
      <c r="I173" s="70"/>
      <c r="J173" s="70"/>
      <c r="K173" s="88"/>
      <c r="L173" s="70"/>
      <c r="M173" s="70"/>
      <c r="N173" s="70"/>
      <c r="O173" s="89"/>
      <c r="V173" s="79"/>
    </row>
    <row r="174" spans="1:22" ht="25.5" x14ac:dyDescent="0.2">
      <c r="A174" s="276"/>
      <c r="B174" s="278" t="s">
        <v>296</v>
      </c>
      <c r="C174" s="277"/>
      <c r="D174" s="747" t="s">
        <v>166</v>
      </c>
      <c r="E174" s="748"/>
      <c r="F174" s="748"/>
      <c r="G174" s="748"/>
      <c r="H174" s="748"/>
      <c r="I174" s="279"/>
      <c r="J174" s="280" t="s">
        <v>18</v>
      </c>
      <c r="K174" s="88"/>
      <c r="L174" s="156">
        <f>SUM(L181:L190)</f>
        <v>36000</v>
      </c>
      <c r="M174" s="246"/>
      <c r="N174" s="147">
        <f>IF(L174=0,0%,L174/L$8)</f>
        <v>0.24725529452569911</v>
      </c>
      <c r="O174" s="495">
        <f>IF(LEN(R174)&gt;3,1,0)</f>
        <v>0</v>
      </c>
      <c r="R174" s="79" t="str">
        <f>IF(AND(R180="NOT",S180="NOT",T180="NOT"),"NOT",D174)</f>
        <v>NOT</v>
      </c>
    </row>
    <row r="175" spans="1:22" s="76" customFormat="1" ht="3" customHeight="1" x14ac:dyDescent="0.2">
      <c r="A175" s="87"/>
      <c r="B175" s="88"/>
      <c r="C175" s="88"/>
      <c r="D175" s="70"/>
      <c r="E175" s="70"/>
      <c r="F175" s="70"/>
      <c r="G175" s="70"/>
      <c r="H175" s="70"/>
      <c r="I175" s="70"/>
      <c r="J175" s="70"/>
      <c r="K175" s="88"/>
      <c r="L175" s="70"/>
      <c r="M175" s="70"/>
      <c r="N175" s="70"/>
      <c r="O175" s="89"/>
      <c r="V175" s="79"/>
    </row>
    <row r="176" spans="1:22" ht="27.75" customHeight="1" x14ac:dyDescent="0.2">
      <c r="B176" s="749" t="s">
        <v>38</v>
      </c>
      <c r="C176" s="750"/>
      <c r="D176" s="750"/>
      <c r="E176" s="750"/>
      <c r="F176" s="750"/>
      <c r="H176" s="81"/>
      <c r="J176" s="81"/>
      <c r="K176" s="88"/>
      <c r="L176" s="81"/>
      <c r="N176" s="227"/>
      <c r="R176" s="79" t="str">
        <f>IF(AND(($L174&gt;0),ISBLANK(B178)),B176,"NOT")</f>
        <v>NOT</v>
      </c>
    </row>
    <row r="177" spans="1:22" ht="3" customHeight="1" x14ac:dyDescent="0.2">
      <c r="B177" s="104"/>
      <c r="C177" s="88"/>
      <c r="D177" s="81"/>
      <c r="F177" s="81"/>
      <c r="H177" s="81"/>
      <c r="J177" s="81"/>
      <c r="K177" s="88"/>
      <c r="L177" s="81"/>
      <c r="N177" s="227"/>
    </row>
    <row r="178" spans="1:22" ht="81" customHeight="1" x14ac:dyDescent="0.2">
      <c r="B178" s="794" t="s">
        <v>1106</v>
      </c>
      <c r="C178" s="795"/>
      <c r="D178" s="795"/>
      <c r="E178" s="795"/>
      <c r="F178" s="795"/>
      <c r="G178" s="795"/>
      <c r="H178" s="795"/>
      <c r="I178" s="795"/>
      <c r="J178" s="795"/>
      <c r="K178" s="795"/>
      <c r="L178" s="796"/>
      <c r="M178" s="70" t="s">
        <v>19</v>
      </c>
      <c r="N178" s="227"/>
    </row>
    <row r="179" spans="1:22" ht="3.75" customHeight="1" x14ac:dyDescent="0.2">
      <c r="B179" s="104"/>
      <c r="C179" s="88"/>
      <c r="D179" s="81"/>
      <c r="F179" s="81"/>
      <c r="H179" s="81"/>
      <c r="J179" s="81"/>
      <c r="K179" s="88"/>
      <c r="L179" s="81"/>
      <c r="N179" s="227"/>
    </row>
    <row r="180" spans="1:22" ht="38.25" x14ac:dyDescent="0.2">
      <c r="B180" s="244" t="s">
        <v>23</v>
      </c>
      <c r="C180" s="88"/>
      <c r="D180" s="244" t="s">
        <v>580</v>
      </c>
      <c r="F180" s="244" t="s">
        <v>205</v>
      </c>
      <c r="H180" s="244" t="s">
        <v>16</v>
      </c>
      <c r="J180" s="244" t="s">
        <v>15</v>
      </c>
      <c r="K180" s="245"/>
      <c r="L180" s="103" t="s">
        <v>141</v>
      </c>
      <c r="N180" s="81"/>
      <c r="R180" s="255" t="str">
        <f>IF(AND(R181="NOT",R182="NOT",R183="NOT",R184="NOT",R185="NOT",R186="NOT",R187="NOT",R188="NOT",R189="NOT",R190="NOT",R176="NOT"),"NOT",D174)</f>
        <v>NOT</v>
      </c>
      <c r="S180" s="255" t="str">
        <f>IF(AND(S181="NOT",S182="NOT",S183="NOT",S184="NOT",S185="NOT",S186="NOT",S187="NOT",S188="NOT",S189="NOT",S190="NOT",R176="NOT"),"NOT",D174)</f>
        <v>NOT</v>
      </c>
      <c r="T180" s="255" t="str">
        <f>IF(AND(T181="NOT",T182="NOT",T183="NOT",T184="NOT",T185="NOT",T186="NOT",T187="NOT",T188="NOT",T189="NOT",T190="NOT",R176="NOT"),"NOT",D174)</f>
        <v>NOT</v>
      </c>
    </row>
    <row r="181" spans="1:22" ht="25.5" x14ac:dyDescent="0.2">
      <c r="B181" s="556" t="s">
        <v>903</v>
      </c>
      <c r="C181" s="88"/>
      <c r="D181" s="260" t="s">
        <v>735</v>
      </c>
      <c r="E181" s="243"/>
      <c r="F181" s="261" t="s">
        <v>801</v>
      </c>
      <c r="G181" s="243"/>
      <c r="H181" s="262">
        <v>3000</v>
      </c>
      <c r="I181" s="243"/>
      <c r="J181" s="262">
        <v>10</v>
      </c>
      <c r="K181" s="88"/>
      <c r="L181" s="143">
        <f t="shared" ref="L181:L190" si="32">TRUNC(H181*J181,2)</f>
        <v>30000</v>
      </c>
      <c r="N181" s="81"/>
      <c r="R181" s="79" t="str">
        <f t="shared" ref="R181:R190" si="33">IF(AND(($L181&gt;0),ISBLANK(B181)),B181,"NOT")</f>
        <v>NOT</v>
      </c>
      <c r="S181" s="79" t="str">
        <f t="shared" ref="S181:S190" si="34">IF(AND(($L181&gt;0),ISBLANK(D181)),D181,"NOT")</f>
        <v>NOT</v>
      </c>
      <c r="T181" s="79" t="str">
        <f t="shared" ref="T181:T190" si="35">IF(AND(($L181&gt;0),ISBLANK(F181)),F181,"NOT")</f>
        <v>NOT</v>
      </c>
      <c r="V181" s="79" t="str">
        <f t="shared" ref="V181:V190" si="36">LEFT(D181,3)</f>
        <v xml:space="preserve">2. </v>
      </c>
    </row>
    <row r="182" spans="1:22" x14ac:dyDescent="0.2">
      <c r="B182" s="556" t="s">
        <v>866</v>
      </c>
      <c r="C182" s="88"/>
      <c r="D182" s="260" t="s">
        <v>735</v>
      </c>
      <c r="E182" s="243"/>
      <c r="F182" s="261" t="s">
        <v>192</v>
      </c>
      <c r="G182" s="243"/>
      <c r="H182" s="262">
        <v>1</v>
      </c>
      <c r="I182" s="243"/>
      <c r="J182" s="557">
        <v>6000</v>
      </c>
      <c r="K182" s="88"/>
      <c r="L182" s="143">
        <f t="shared" si="32"/>
        <v>6000</v>
      </c>
      <c r="N182" s="81"/>
      <c r="R182" s="79" t="str">
        <f t="shared" si="33"/>
        <v>NOT</v>
      </c>
      <c r="S182" s="79" t="str">
        <f t="shared" si="34"/>
        <v>NOT</v>
      </c>
      <c r="T182" s="79" t="str">
        <f t="shared" si="35"/>
        <v>NOT</v>
      </c>
      <c r="V182" s="79" t="str">
        <f t="shared" si="36"/>
        <v xml:space="preserve">2. </v>
      </c>
    </row>
    <row r="183" spans="1:22" x14ac:dyDescent="0.2">
      <c r="B183" s="259"/>
      <c r="C183" s="88"/>
      <c r="D183" s="260"/>
      <c r="E183" s="243"/>
      <c r="F183" s="261"/>
      <c r="G183" s="243"/>
      <c r="H183" s="262"/>
      <c r="I183" s="243"/>
      <c r="J183" s="262"/>
      <c r="K183" s="88"/>
      <c r="L183" s="143">
        <f t="shared" si="32"/>
        <v>0</v>
      </c>
      <c r="N183" s="81"/>
      <c r="R183" s="79" t="str">
        <f t="shared" si="33"/>
        <v>NOT</v>
      </c>
      <c r="S183" s="79" t="str">
        <f t="shared" si="34"/>
        <v>NOT</v>
      </c>
      <c r="T183" s="79" t="str">
        <f t="shared" si="35"/>
        <v>NOT</v>
      </c>
      <c r="V183" s="79" t="str">
        <f t="shared" si="36"/>
        <v/>
      </c>
    </row>
    <row r="184" spans="1:22" x14ac:dyDescent="0.2">
      <c r="B184" s="259"/>
      <c r="C184" s="88"/>
      <c r="D184" s="260"/>
      <c r="E184" s="243"/>
      <c r="F184" s="261"/>
      <c r="G184" s="243"/>
      <c r="H184" s="262"/>
      <c r="I184" s="243"/>
      <c r="J184" s="262"/>
      <c r="K184" s="88"/>
      <c r="L184" s="143">
        <f t="shared" si="32"/>
        <v>0</v>
      </c>
      <c r="N184" s="81"/>
      <c r="R184" s="79" t="str">
        <f t="shared" si="33"/>
        <v>NOT</v>
      </c>
      <c r="S184" s="79" t="str">
        <f t="shared" si="34"/>
        <v>NOT</v>
      </c>
      <c r="T184" s="79" t="str">
        <f t="shared" si="35"/>
        <v>NOT</v>
      </c>
      <c r="V184" s="79" t="str">
        <f t="shared" si="36"/>
        <v/>
      </c>
    </row>
    <row r="185" spans="1:22" x14ac:dyDescent="0.2">
      <c r="B185" s="259"/>
      <c r="C185" s="88"/>
      <c r="D185" s="260"/>
      <c r="E185" s="243"/>
      <c r="F185" s="261"/>
      <c r="G185" s="243"/>
      <c r="H185" s="262"/>
      <c r="I185" s="243"/>
      <c r="J185" s="262"/>
      <c r="K185" s="88"/>
      <c r="L185" s="143">
        <f t="shared" si="32"/>
        <v>0</v>
      </c>
      <c r="N185" s="81"/>
      <c r="R185" s="79" t="str">
        <f t="shared" si="33"/>
        <v>NOT</v>
      </c>
      <c r="S185" s="79" t="str">
        <f t="shared" si="34"/>
        <v>NOT</v>
      </c>
      <c r="T185" s="79" t="str">
        <f t="shared" si="35"/>
        <v>NOT</v>
      </c>
      <c r="V185" s="79" t="str">
        <f t="shared" si="36"/>
        <v/>
      </c>
    </row>
    <row r="186" spans="1:22" x14ac:dyDescent="0.2">
      <c r="B186" s="259"/>
      <c r="C186" s="88"/>
      <c r="D186" s="260"/>
      <c r="E186" s="243"/>
      <c r="F186" s="261"/>
      <c r="G186" s="243"/>
      <c r="H186" s="262"/>
      <c r="I186" s="243"/>
      <c r="J186" s="262"/>
      <c r="K186" s="88"/>
      <c r="L186" s="143">
        <f t="shared" si="32"/>
        <v>0</v>
      </c>
      <c r="N186" s="81"/>
      <c r="R186" s="79" t="str">
        <f t="shared" si="33"/>
        <v>NOT</v>
      </c>
      <c r="S186" s="79" t="str">
        <f t="shared" si="34"/>
        <v>NOT</v>
      </c>
      <c r="T186" s="79" t="str">
        <f t="shared" si="35"/>
        <v>NOT</v>
      </c>
      <c r="V186" s="79" t="str">
        <f t="shared" si="36"/>
        <v/>
      </c>
    </row>
    <row r="187" spans="1:22" x14ac:dyDescent="0.2">
      <c r="B187" s="259"/>
      <c r="C187" s="88"/>
      <c r="D187" s="260"/>
      <c r="E187" s="243"/>
      <c r="F187" s="261"/>
      <c r="G187" s="243"/>
      <c r="H187" s="262"/>
      <c r="I187" s="243"/>
      <c r="J187" s="262"/>
      <c r="K187" s="88"/>
      <c r="L187" s="143">
        <f t="shared" si="32"/>
        <v>0</v>
      </c>
      <c r="N187" s="81"/>
      <c r="R187" s="79" t="str">
        <f t="shared" si="33"/>
        <v>NOT</v>
      </c>
      <c r="S187" s="79" t="str">
        <f t="shared" si="34"/>
        <v>NOT</v>
      </c>
      <c r="T187" s="79" t="str">
        <f t="shared" si="35"/>
        <v>NOT</v>
      </c>
      <c r="V187" s="79" t="str">
        <f t="shared" si="36"/>
        <v/>
      </c>
    </row>
    <row r="188" spans="1:22" x14ac:dyDescent="0.2">
      <c r="B188" s="259"/>
      <c r="C188" s="88"/>
      <c r="D188" s="260"/>
      <c r="E188" s="243"/>
      <c r="F188" s="261"/>
      <c r="G188" s="243"/>
      <c r="H188" s="262"/>
      <c r="I188" s="243"/>
      <c r="J188" s="262"/>
      <c r="K188" s="88"/>
      <c r="L188" s="143">
        <f t="shared" si="32"/>
        <v>0</v>
      </c>
      <c r="N188" s="81"/>
      <c r="R188" s="79" t="str">
        <f t="shared" si="33"/>
        <v>NOT</v>
      </c>
      <c r="S188" s="79" t="str">
        <f t="shared" si="34"/>
        <v>NOT</v>
      </c>
      <c r="T188" s="79" t="str">
        <f t="shared" si="35"/>
        <v>NOT</v>
      </c>
      <c r="V188" s="79" t="str">
        <f t="shared" si="36"/>
        <v/>
      </c>
    </row>
    <row r="189" spans="1:22" x14ac:dyDescent="0.2">
      <c r="B189" s="259"/>
      <c r="C189" s="88"/>
      <c r="D189" s="260"/>
      <c r="E189" s="243"/>
      <c r="F189" s="261"/>
      <c r="G189" s="243"/>
      <c r="H189" s="262"/>
      <c r="I189" s="243"/>
      <c r="J189" s="262"/>
      <c r="K189" s="88"/>
      <c r="L189" s="143">
        <f t="shared" si="32"/>
        <v>0</v>
      </c>
      <c r="N189" s="81"/>
      <c r="R189" s="79" t="str">
        <f t="shared" si="33"/>
        <v>NOT</v>
      </c>
      <c r="S189" s="79" t="str">
        <f t="shared" si="34"/>
        <v>NOT</v>
      </c>
      <c r="T189" s="79" t="str">
        <f t="shared" si="35"/>
        <v>NOT</v>
      </c>
      <c r="V189" s="79" t="str">
        <f t="shared" si="36"/>
        <v/>
      </c>
    </row>
    <row r="190" spans="1:22" x14ac:dyDescent="0.2">
      <c r="B190" s="259"/>
      <c r="C190" s="88"/>
      <c r="D190" s="260"/>
      <c r="E190" s="243"/>
      <c r="F190" s="261"/>
      <c r="G190" s="243"/>
      <c r="H190" s="262"/>
      <c r="I190" s="243"/>
      <c r="J190" s="262"/>
      <c r="K190" s="88"/>
      <c r="L190" s="143">
        <f t="shared" si="32"/>
        <v>0</v>
      </c>
      <c r="N190" s="81"/>
      <c r="R190" s="79" t="str">
        <f t="shared" si="33"/>
        <v>NOT</v>
      </c>
      <c r="S190" s="79" t="str">
        <f t="shared" si="34"/>
        <v>NOT</v>
      </c>
      <c r="T190" s="79" t="str">
        <f t="shared" si="35"/>
        <v>NOT</v>
      </c>
      <c r="V190" s="79" t="str">
        <f t="shared" si="36"/>
        <v/>
      </c>
    </row>
    <row r="191" spans="1:22" x14ac:dyDescent="0.2">
      <c r="B191" s="104"/>
      <c r="C191" s="88"/>
      <c r="D191" s="81"/>
      <c r="F191" s="81"/>
      <c r="H191" s="81"/>
      <c r="J191" s="81"/>
      <c r="K191" s="88"/>
      <c r="L191" s="81"/>
      <c r="N191" s="227"/>
    </row>
    <row r="192" spans="1:22" ht="13.5" customHeight="1" x14ac:dyDescent="0.2">
      <c r="A192" s="276"/>
      <c r="B192" s="278" t="s">
        <v>297</v>
      </c>
      <c r="C192" s="277"/>
      <c r="D192" s="747" t="s">
        <v>166</v>
      </c>
      <c r="E192" s="748"/>
      <c r="F192" s="748"/>
      <c r="G192" s="748"/>
      <c r="H192" s="748"/>
      <c r="I192" s="279"/>
      <c r="J192" s="280" t="s">
        <v>18</v>
      </c>
      <c r="K192" s="88"/>
      <c r="L192" s="156">
        <f>SUM(L199:L203)</f>
        <v>0</v>
      </c>
      <c r="M192" s="246"/>
      <c r="N192" s="147">
        <f>IF(L192=0,0%,L192/L$8)</f>
        <v>0</v>
      </c>
      <c r="O192" s="495">
        <f>IF(LEN(R192)&gt;3,1,0)</f>
        <v>0</v>
      </c>
      <c r="R192" s="79" t="str">
        <f>IF(AND(R198="NOT",S198="NOT",T198="NOT"),"NOT",D192)</f>
        <v>NOT</v>
      </c>
    </row>
    <row r="193" spans="1:22" s="76" customFormat="1" ht="3" customHeight="1" x14ac:dyDescent="0.2">
      <c r="A193" s="87"/>
      <c r="B193" s="88"/>
      <c r="C193" s="88"/>
      <c r="D193" s="70"/>
      <c r="E193" s="70"/>
      <c r="F193" s="70"/>
      <c r="G193" s="70"/>
      <c r="H193" s="70"/>
      <c r="I193" s="70"/>
      <c r="J193" s="70"/>
      <c r="K193" s="88"/>
      <c r="L193" s="70"/>
      <c r="M193" s="70"/>
      <c r="N193" s="70"/>
      <c r="O193" s="89"/>
      <c r="V193" s="79"/>
    </row>
    <row r="194" spans="1:22" ht="25.5" customHeight="1" x14ac:dyDescent="0.2">
      <c r="B194" s="749" t="s">
        <v>646</v>
      </c>
      <c r="C194" s="750"/>
      <c r="D194" s="750"/>
      <c r="E194" s="750"/>
      <c r="F194" s="750"/>
      <c r="H194" s="81"/>
      <c r="J194" s="81"/>
      <c r="K194" s="88"/>
      <c r="L194" s="81"/>
      <c r="N194" s="227"/>
      <c r="R194" s="79" t="str">
        <f>IF(AND(($L192&gt;0),ISBLANK(B196)),B194,"NOT")</f>
        <v>NOT</v>
      </c>
    </row>
    <row r="195" spans="1:22" ht="3" customHeight="1" x14ac:dyDescent="0.2">
      <c r="B195" s="104"/>
      <c r="C195" s="88"/>
      <c r="D195" s="81"/>
      <c r="F195" s="81"/>
      <c r="H195" s="81"/>
      <c r="J195" s="81"/>
      <c r="K195" s="88"/>
      <c r="L195" s="81"/>
      <c r="N195" s="227"/>
    </row>
    <row r="196" spans="1:22" ht="60.75" customHeight="1" x14ac:dyDescent="0.2">
      <c r="B196" s="744"/>
      <c r="C196" s="745"/>
      <c r="D196" s="745"/>
      <c r="E196" s="745"/>
      <c r="F196" s="745"/>
      <c r="G196" s="745"/>
      <c r="H196" s="745"/>
      <c r="I196" s="745"/>
      <c r="J196" s="745"/>
      <c r="K196" s="745"/>
      <c r="L196" s="746"/>
      <c r="M196" s="70" t="s">
        <v>19</v>
      </c>
      <c r="N196" s="227"/>
    </row>
    <row r="197" spans="1:22" ht="3.75" customHeight="1" x14ac:dyDescent="0.2">
      <c r="B197" s="104"/>
      <c r="C197" s="88"/>
      <c r="D197" s="81"/>
      <c r="F197" s="81"/>
      <c r="H197" s="81"/>
      <c r="J197" s="81"/>
      <c r="K197" s="88"/>
      <c r="L197" s="81"/>
      <c r="N197" s="227"/>
    </row>
    <row r="198" spans="1:22" ht="12.75" customHeight="1" x14ac:dyDescent="0.2">
      <c r="B198" s="244" t="s">
        <v>17</v>
      </c>
      <c r="C198" s="88"/>
      <c r="D198" s="244" t="s">
        <v>580</v>
      </c>
      <c r="F198" s="244" t="s">
        <v>205</v>
      </c>
      <c r="H198" s="244" t="s">
        <v>16</v>
      </c>
      <c r="J198" s="244" t="s">
        <v>15</v>
      </c>
      <c r="K198" s="245"/>
      <c r="L198" s="103" t="s">
        <v>141</v>
      </c>
      <c r="N198" s="81"/>
      <c r="R198" s="255" t="str">
        <f>IF(AND(R199="NOT",R200="NOT",R201="NOT",R202="NOT",R203="NOT",R194="NOT"),"NOT",D192)</f>
        <v>NOT</v>
      </c>
      <c r="S198" s="255" t="str">
        <f>IF(AND(S199="NOT",S200="NOT",S201="NOT",S202="NOT",S203="NOT",R194="NOT"),"NOT",D192)</f>
        <v>NOT</v>
      </c>
      <c r="T198" s="255" t="str">
        <f>IF(AND(T199="NOT",T200="NOT",T201="NOT",T202="NOT",T203="NOT",R194="NOT"),"NOT",D192)</f>
        <v>NOT</v>
      </c>
    </row>
    <row r="199" spans="1:22" x14ac:dyDescent="0.2">
      <c r="B199" s="259"/>
      <c r="C199" s="88"/>
      <c r="D199" s="260"/>
      <c r="E199" s="243"/>
      <c r="F199" s="261"/>
      <c r="G199" s="243"/>
      <c r="H199" s="262"/>
      <c r="I199" s="243"/>
      <c r="J199" s="262"/>
      <c r="K199" s="88"/>
      <c r="L199" s="143">
        <f>TRUNC(H199*J199,2)</f>
        <v>0</v>
      </c>
      <c r="N199" s="81"/>
      <c r="R199" s="79" t="str">
        <f>IF(AND(($L199&gt;0),ISBLANK(B199)),B199,"NOT")</f>
        <v>NOT</v>
      </c>
      <c r="S199" s="79" t="str">
        <f>IF(AND(($L199&gt;0),ISBLANK(D199)),D199,"NOT")</f>
        <v>NOT</v>
      </c>
      <c r="T199" s="79" t="str">
        <f>IF(AND(($L199&gt;0),ISBLANK(F199)),F199,"NOT")</f>
        <v>NOT</v>
      </c>
      <c r="V199" s="79" t="str">
        <f>LEFT(D199,3)</f>
        <v/>
      </c>
    </row>
    <row r="200" spans="1:22" x14ac:dyDescent="0.2">
      <c r="B200" s="259"/>
      <c r="C200" s="88"/>
      <c r="D200" s="260"/>
      <c r="E200" s="243"/>
      <c r="F200" s="261"/>
      <c r="G200" s="243"/>
      <c r="H200" s="262"/>
      <c r="I200" s="243"/>
      <c r="J200" s="262"/>
      <c r="K200" s="88"/>
      <c r="L200" s="143">
        <f>TRUNC(H200*J200,2)</f>
        <v>0</v>
      </c>
      <c r="N200" s="81"/>
      <c r="R200" s="79" t="str">
        <f>IF(AND(($L200&gt;0),ISBLANK(B200)),B200,"NOT")</f>
        <v>NOT</v>
      </c>
      <c r="S200" s="79" t="str">
        <f>IF(AND(($L200&gt;0),ISBLANK(D200)),D200,"NOT")</f>
        <v>NOT</v>
      </c>
      <c r="T200" s="79" t="str">
        <f>IF(AND(($L200&gt;0),ISBLANK(F200)),F200,"NOT")</f>
        <v>NOT</v>
      </c>
      <c r="V200" s="79" t="str">
        <f t="shared" ref="V200:V203" si="37">LEFT(D200,3)</f>
        <v/>
      </c>
    </row>
    <row r="201" spans="1:22" x14ac:dyDescent="0.2">
      <c r="B201" s="259"/>
      <c r="C201" s="88"/>
      <c r="D201" s="260"/>
      <c r="E201" s="243"/>
      <c r="F201" s="261"/>
      <c r="G201" s="243"/>
      <c r="H201" s="262"/>
      <c r="I201" s="243"/>
      <c r="J201" s="262"/>
      <c r="K201" s="88"/>
      <c r="L201" s="143">
        <f>TRUNC(H201*J201,2)</f>
        <v>0</v>
      </c>
      <c r="N201" s="81"/>
      <c r="R201" s="79" t="str">
        <f>IF(AND(($L201&gt;0),ISBLANK(B201)),B201,"NOT")</f>
        <v>NOT</v>
      </c>
      <c r="S201" s="79" t="str">
        <f>IF(AND(($L201&gt;0),ISBLANK(D201)),D201,"NOT")</f>
        <v>NOT</v>
      </c>
      <c r="T201" s="79" t="str">
        <f>IF(AND(($L201&gt;0),ISBLANK(F201)),F201,"NOT")</f>
        <v>NOT</v>
      </c>
      <c r="V201" s="79" t="str">
        <f t="shared" si="37"/>
        <v/>
      </c>
    </row>
    <row r="202" spans="1:22" x14ac:dyDescent="0.2">
      <c r="B202" s="259"/>
      <c r="C202" s="88"/>
      <c r="D202" s="260"/>
      <c r="E202" s="243"/>
      <c r="F202" s="261"/>
      <c r="G202" s="243"/>
      <c r="H202" s="262"/>
      <c r="I202" s="243"/>
      <c r="J202" s="262"/>
      <c r="K202" s="88"/>
      <c r="L202" s="143">
        <f>TRUNC(H202*J202,2)</f>
        <v>0</v>
      </c>
      <c r="N202" s="81"/>
      <c r="R202" s="79" t="str">
        <f>IF(AND(($L202&gt;0),ISBLANK(B202)),B202,"NOT")</f>
        <v>NOT</v>
      </c>
      <c r="S202" s="79" t="str">
        <f>IF(AND(($L202&gt;0),ISBLANK(D202)),D202,"NOT")</f>
        <v>NOT</v>
      </c>
      <c r="T202" s="79" t="str">
        <f>IF(AND(($L202&gt;0),ISBLANK(F202)),F202,"NOT")</f>
        <v>NOT</v>
      </c>
      <c r="V202" s="79" t="str">
        <f t="shared" si="37"/>
        <v/>
      </c>
    </row>
    <row r="203" spans="1:22" x14ac:dyDescent="0.2">
      <c r="B203" s="259"/>
      <c r="C203" s="88"/>
      <c r="D203" s="260"/>
      <c r="E203" s="243"/>
      <c r="F203" s="261"/>
      <c r="G203" s="243"/>
      <c r="H203" s="262"/>
      <c r="I203" s="243"/>
      <c r="J203" s="262"/>
      <c r="K203" s="88"/>
      <c r="L203" s="143">
        <f>TRUNC(H203*J203,2)</f>
        <v>0</v>
      </c>
      <c r="N203" s="81"/>
      <c r="R203" s="79" t="str">
        <f>IF(AND(($L203&gt;0),ISBLANK(B203)),B203,"NOT")</f>
        <v>NOT</v>
      </c>
      <c r="S203" s="79" t="str">
        <f>IF(AND(($L203&gt;0),ISBLANK(D203)),D203,"NOT")</f>
        <v>NOT</v>
      </c>
      <c r="T203" s="79" t="str">
        <f>IF(AND(($L203&gt;0),ISBLANK(F203)),F203,"NOT")</f>
        <v>NOT</v>
      </c>
      <c r="V203" s="79" t="str">
        <f t="shared" si="37"/>
        <v/>
      </c>
    </row>
    <row r="204" spans="1:22" x14ac:dyDescent="0.2">
      <c r="B204" s="104"/>
      <c r="C204" s="88"/>
      <c r="D204" s="81"/>
      <c r="F204" s="81"/>
      <c r="H204" s="81"/>
      <c r="J204" s="81"/>
      <c r="K204" s="88"/>
      <c r="L204" s="81"/>
      <c r="N204" s="227"/>
    </row>
    <row r="205" spans="1:22" x14ac:dyDescent="0.2">
      <c r="B205" s="104"/>
      <c r="C205" s="88"/>
      <c r="D205" s="81"/>
      <c r="F205" s="81"/>
      <c r="H205" s="81"/>
      <c r="J205" s="81"/>
      <c r="K205" s="88"/>
      <c r="L205" s="81"/>
      <c r="N205" s="227"/>
    </row>
    <row r="206" spans="1:22" ht="27" customHeight="1" x14ac:dyDescent="0.2">
      <c r="A206" s="247">
        <v>6</v>
      </c>
      <c r="B206" s="248" t="s">
        <v>298</v>
      </c>
      <c r="C206" s="249"/>
      <c r="D206" s="760"/>
      <c r="E206" s="761"/>
      <c r="F206" s="761"/>
      <c r="G206" s="761"/>
      <c r="H206" s="762"/>
      <c r="I206" s="250"/>
      <c r="J206" s="251" t="s">
        <v>18</v>
      </c>
      <c r="K206" s="249"/>
      <c r="L206" s="252">
        <f>L208+L226</f>
        <v>42350</v>
      </c>
      <c r="M206" s="250"/>
      <c r="N206" s="253">
        <f>IF(L206=0,0%,L206/L$8)</f>
        <v>0.29086838119898212</v>
      </c>
      <c r="O206" s="94"/>
      <c r="P206" s="95"/>
      <c r="Q206" s="79" t="e">
        <f>IF(AND(R227=#REF!,#REF!&gt;#REF!),D206,0)</f>
        <v>#REF!</v>
      </c>
      <c r="R206" s="79" t="e">
        <f>IF(AND(R227=#REF!,#REF!&gt;#REF!),D206,0)</f>
        <v>#REF!</v>
      </c>
      <c r="S206" s="79">
        <f>IF('9. Project budget summary'!T41&gt;0,('9. Project budget summary'!T37+'9. Project budget summary'!T33)/'9. Project budget summary'!T41,0)</f>
        <v>0.67187048492599999</v>
      </c>
      <c r="T206" s="231" t="s">
        <v>172</v>
      </c>
      <c r="U206" s="320" t="s">
        <v>183</v>
      </c>
      <c r="V206" s="271">
        <v>0.7</v>
      </c>
    </row>
    <row r="207" spans="1:22" s="76" customFormat="1" ht="7.5" customHeight="1" x14ac:dyDescent="0.2">
      <c r="A207" s="87"/>
      <c r="B207" s="88"/>
      <c r="C207" s="88"/>
      <c r="D207" s="70"/>
      <c r="E207" s="70"/>
      <c r="F207" s="70"/>
      <c r="G207" s="70"/>
      <c r="H207" s="70"/>
      <c r="I207" s="70"/>
      <c r="J207" s="70"/>
      <c r="K207" s="88"/>
      <c r="L207" s="70"/>
      <c r="M207" s="70"/>
      <c r="N207" s="70"/>
      <c r="O207" s="89"/>
      <c r="V207" s="79"/>
    </row>
    <row r="208" spans="1:22" ht="13.5" customHeight="1" x14ac:dyDescent="0.2">
      <c r="A208" s="276"/>
      <c r="B208" s="278" t="s">
        <v>301</v>
      </c>
      <c r="C208" s="277"/>
      <c r="D208" s="747" t="s">
        <v>166</v>
      </c>
      <c r="E208" s="748"/>
      <c r="F208" s="748"/>
      <c r="G208" s="748"/>
      <c r="H208" s="748"/>
      <c r="I208" s="279"/>
      <c r="J208" s="280" t="s">
        <v>18</v>
      </c>
      <c r="K208" s="88"/>
      <c r="L208" s="156">
        <f>SUM(L215:L224)</f>
        <v>41350</v>
      </c>
      <c r="M208" s="246"/>
      <c r="N208" s="147">
        <f>IF(L208=0,0%,L208/L$8)</f>
        <v>0.28400017857326826</v>
      </c>
      <c r="O208" s="495">
        <f>IF(LEN(R208)&gt;3,1,0)</f>
        <v>0</v>
      </c>
      <c r="R208" s="79" t="str">
        <f>IF(AND(R214="NOT",S214="NOT",T214="NOT"),"NOT",D208)</f>
        <v>NOT</v>
      </c>
    </row>
    <row r="209" spans="1:22" s="76" customFormat="1" ht="3" customHeight="1" x14ac:dyDescent="0.2">
      <c r="A209" s="87"/>
      <c r="B209" s="88"/>
      <c r="C209" s="88"/>
      <c r="D209" s="70"/>
      <c r="E209" s="70"/>
      <c r="F209" s="70"/>
      <c r="G209" s="70"/>
      <c r="H209" s="70"/>
      <c r="I209" s="70"/>
      <c r="J209" s="70"/>
      <c r="K209" s="88"/>
      <c r="L209" s="70"/>
      <c r="M209" s="70"/>
      <c r="N209" s="70"/>
      <c r="O209" s="89"/>
      <c r="V209" s="79"/>
    </row>
    <row r="210" spans="1:22" ht="24.75" customHeight="1" x14ac:dyDescent="0.2">
      <c r="B210" s="749" t="s">
        <v>203</v>
      </c>
      <c r="C210" s="750"/>
      <c r="D210" s="750"/>
      <c r="E210" s="750"/>
      <c r="F210" s="750"/>
      <c r="H210" s="81"/>
      <c r="J210" s="81"/>
      <c r="K210" s="88"/>
      <c r="L210" s="81"/>
      <c r="N210" s="227"/>
      <c r="R210" s="79" t="str">
        <f>IF(AND(($L208&gt;0),ISBLANK(B212)),B210,"NOT")</f>
        <v>NOT</v>
      </c>
    </row>
    <row r="211" spans="1:22" ht="3" customHeight="1" x14ac:dyDescent="0.2">
      <c r="B211" s="104"/>
      <c r="C211" s="88"/>
      <c r="D211" s="81"/>
      <c r="F211" s="81"/>
      <c r="H211" s="81"/>
      <c r="J211" s="81"/>
      <c r="K211" s="88"/>
      <c r="L211" s="81"/>
      <c r="N211" s="227"/>
    </row>
    <row r="212" spans="1:22" ht="90" customHeight="1" x14ac:dyDescent="0.2">
      <c r="B212" s="782" t="s">
        <v>1055</v>
      </c>
      <c r="C212" s="745"/>
      <c r="D212" s="745"/>
      <c r="E212" s="745"/>
      <c r="F212" s="745"/>
      <c r="G212" s="745"/>
      <c r="H212" s="745"/>
      <c r="I212" s="745"/>
      <c r="J212" s="745"/>
      <c r="K212" s="745"/>
      <c r="L212" s="746"/>
      <c r="M212" s="70" t="s">
        <v>19</v>
      </c>
      <c r="N212" s="227"/>
    </row>
    <row r="213" spans="1:22" ht="3.75" customHeight="1" x14ac:dyDescent="0.2">
      <c r="B213" s="104"/>
      <c r="C213" s="88"/>
      <c r="D213" s="81"/>
      <c r="F213" s="81"/>
      <c r="H213" s="81"/>
      <c r="J213" s="81"/>
      <c r="K213" s="88"/>
      <c r="L213" s="81"/>
      <c r="N213" s="227"/>
    </row>
    <row r="214" spans="1:22" ht="38.25" x14ac:dyDescent="0.2">
      <c r="B214" s="244" t="s">
        <v>204</v>
      </c>
      <c r="C214" s="88"/>
      <c r="D214" s="244" t="s">
        <v>580</v>
      </c>
      <c r="F214" s="244" t="s">
        <v>205</v>
      </c>
      <c r="H214" s="244" t="s">
        <v>16</v>
      </c>
      <c r="J214" s="244" t="s">
        <v>15</v>
      </c>
      <c r="K214" s="245"/>
      <c r="L214" s="103" t="s">
        <v>141</v>
      </c>
      <c r="N214" s="81"/>
      <c r="R214" s="255" t="str">
        <f>IF(AND(R215="NOT",R216="NOT",R217="NOT",R218="NOT",R219="NOT",R220="NOT",R221="NOT",R222="NOT",R223="NOT",R224="NOT",R210="NOT"),"NOT",D208)</f>
        <v>NOT</v>
      </c>
      <c r="S214" s="255" t="str">
        <f>IF(AND(S215="NOT",S216="NOT",S217="NOT",S218="NOT",S219="NOT",S220="NOT",S221="NOT",S222="NOT",S223="NOT",S224="NOT",R210="NOT"),"NOT",D208)</f>
        <v>NOT</v>
      </c>
      <c r="T214" s="255" t="str">
        <f>IF(AND(T215="NOT",T216="NOT",T217="NOT",T218="NOT",T219="NOT",T220="NOT",T221="NOT",T222="NOT",T223="NOT",T224="NOT",R210="NOT"),"NOT",D208)</f>
        <v>NOT</v>
      </c>
    </row>
    <row r="215" spans="1:22" ht="51" x14ac:dyDescent="0.2">
      <c r="B215" s="526" t="s">
        <v>873</v>
      </c>
      <c r="C215" s="88"/>
      <c r="D215" s="260" t="s">
        <v>895</v>
      </c>
      <c r="E215" s="243"/>
      <c r="F215" s="261" t="s">
        <v>1054</v>
      </c>
      <c r="G215" s="243"/>
      <c r="H215" s="262">
        <v>1</v>
      </c>
      <c r="I215" s="243"/>
      <c r="J215" s="262">
        <v>5350</v>
      </c>
      <c r="K215" s="88"/>
      <c r="L215" s="143">
        <f t="shared" ref="L215:L224" si="38">TRUNC(H215*J215,2)</f>
        <v>5350</v>
      </c>
      <c r="N215" s="81"/>
      <c r="R215" s="79" t="str">
        <f t="shared" ref="R215:R224" si="39">IF(AND(($L215&gt;0),ISBLANK(B215)),B215,"NOT")</f>
        <v>NOT</v>
      </c>
      <c r="S215" s="79" t="str">
        <f t="shared" ref="S215:S224" si="40">IF(AND(($L215&gt;0),ISBLANK(D215)),D215,"NOT")</f>
        <v>NOT</v>
      </c>
      <c r="T215" s="79" t="str">
        <f t="shared" ref="T215:T224" si="41">IF(AND(($L215&gt;0),ISBLANK(F215)),F215,"NOT")</f>
        <v>NOT</v>
      </c>
      <c r="V215" s="79" t="str">
        <f t="shared" ref="V215:V224" si="42">LEFT(D215,3)</f>
        <v>14.</v>
      </c>
    </row>
    <row r="216" spans="1:22" ht="51" x14ac:dyDescent="0.2">
      <c r="B216" s="526" t="s">
        <v>874</v>
      </c>
      <c r="C216" s="88"/>
      <c r="D216" s="260" t="s">
        <v>895</v>
      </c>
      <c r="E216" s="243"/>
      <c r="F216" s="261" t="s">
        <v>801</v>
      </c>
      <c r="G216" s="243"/>
      <c r="H216" s="262">
        <v>3</v>
      </c>
      <c r="I216" s="243"/>
      <c r="J216" s="262">
        <v>500</v>
      </c>
      <c r="K216" s="88"/>
      <c r="L216" s="143">
        <f t="shared" si="38"/>
        <v>1500</v>
      </c>
      <c r="N216" s="81"/>
      <c r="R216" s="79" t="str">
        <f t="shared" si="39"/>
        <v>NOT</v>
      </c>
      <c r="S216" s="79" t="str">
        <f t="shared" si="40"/>
        <v>NOT</v>
      </c>
      <c r="T216" s="79" t="str">
        <f t="shared" si="41"/>
        <v>NOT</v>
      </c>
      <c r="V216" s="79" t="str">
        <f t="shared" si="42"/>
        <v>14.</v>
      </c>
    </row>
    <row r="217" spans="1:22" ht="51" x14ac:dyDescent="0.2">
      <c r="B217" s="526" t="s">
        <v>806</v>
      </c>
      <c r="C217" s="88"/>
      <c r="D217" s="260" t="s">
        <v>895</v>
      </c>
      <c r="E217" s="243"/>
      <c r="F217" s="261" t="s">
        <v>801</v>
      </c>
      <c r="G217" s="243"/>
      <c r="H217" s="262">
        <v>3</v>
      </c>
      <c r="I217" s="243"/>
      <c r="J217" s="262">
        <v>5500</v>
      </c>
      <c r="K217" s="88"/>
      <c r="L217" s="143">
        <f t="shared" si="38"/>
        <v>16500</v>
      </c>
      <c r="N217" s="81"/>
      <c r="R217" s="79" t="str">
        <f t="shared" si="39"/>
        <v>NOT</v>
      </c>
      <c r="S217" s="79" t="str">
        <f t="shared" si="40"/>
        <v>NOT</v>
      </c>
      <c r="T217" s="79" t="str">
        <f t="shared" si="41"/>
        <v>NOT</v>
      </c>
      <c r="V217" s="79" t="str">
        <f t="shared" si="42"/>
        <v>14.</v>
      </c>
    </row>
    <row r="218" spans="1:22" ht="51" x14ac:dyDescent="0.2">
      <c r="B218" s="526" t="s">
        <v>875</v>
      </c>
      <c r="C218" s="88"/>
      <c r="D218" s="260" t="s">
        <v>895</v>
      </c>
      <c r="E218" s="243"/>
      <c r="F218" s="261" t="s">
        <v>801</v>
      </c>
      <c r="G218" s="243"/>
      <c r="H218" s="262">
        <v>1</v>
      </c>
      <c r="I218" s="243"/>
      <c r="J218" s="262">
        <v>18000</v>
      </c>
      <c r="K218" s="88"/>
      <c r="L218" s="143">
        <f t="shared" si="38"/>
        <v>18000</v>
      </c>
      <c r="N218" s="81"/>
      <c r="R218" s="79" t="str">
        <f t="shared" si="39"/>
        <v>NOT</v>
      </c>
      <c r="S218" s="79" t="str">
        <f t="shared" si="40"/>
        <v>NOT</v>
      </c>
      <c r="T218" s="79" t="str">
        <f t="shared" si="41"/>
        <v>NOT</v>
      </c>
      <c r="V218" s="79" t="str">
        <f t="shared" si="42"/>
        <v>14.</v>
      </c>
    </row>
    <row r="219" spans="1:22" x14ac:dyDescent="0.2">
      <c r="B219" s="520"/>
      <c r="C219" s="88"/>
      <c r="D219" s="260"/>
      <c r="E219" s="243"/>
      <c r="F219" s="261"/>
      <c r="G219" s="243"/>
      <c r="H219" s="262"/>
      <c r="I219" s="243"/>
      <c r="J219" s="262"/>
      <c r="K219" s="88"/>
      <c r="L219" s="143">
        <f t="shared" si="38"/>
        <v>0</v>
      </c>
      <c r="N219" s="81"/>
      <c r="R219" s="79" t="str">
        <f t="shared" si="39"/>
        <v>NOT</v>
      </c>
      <c r="S219" s="79" t="str">
        <f t="shared" si="40"/>
        <v>NOT</v>
      </c>
      <c r="T219" s="79" t="str">
        <f t="shared" si="41"/>
        <v>NOT</v>
      </c>
      <c r="V219" s="79" t="str">
        <f t="shared" si="42"/>
        <v/>
      </c>
    </row>
    <row r="220" spans="1:22" x14ac:dyDescent="0.2">
      <c r="B220" s="259"/>
      <c r="C220" s="88"/>
      <c r="D220" s="260"/>
      <c r="E220" s="243"/>
      <c r="F220" s="261"/>
      <c r="G220" s="243"/>
      <c r="H220" s="262"/>
      <c r="I220" s="243"/>
      <c r="J220" s="262"/>
      <c r="K220" s="88"/>
      <c r="L220" s="143">
        <f t="shared" si="38"/>
        <v>0</v>
      </c>
      <c r="N220" s="81"/>
      <c r="R220" s="79" t="str">
        <f t="shared" si="39"/>
        <v>NOT</v>
      </c>
      <c r="S220" s="79" t="str">
        <f t="shared" si="40"/>
        <v>NOT</v>
      </c>
      <c r="T220" s="79" t="str">
        <f t="shared" si="41"/>
        <v>NOT</v>
      </c>
      <c r="V220" s="79" t="str">
        <f t="shared" si="42"/>
        <v/>
      </c>
    </row>
    <row r="221" spans="1:22" x14ac:dyDescent="0.2">
      <c r="B221" s="259"/>
      <c r="C221" s="88"/>
      <c r="D221" s="260"/>
      <c r="E221" s="243"/>
      <c r="F221" s="261"/>
      <c r="G221" s="243"/>
      <c r="H221" s="262"/>
      <c r="I221" s="243"/>
      <c r="J221" s="262"/>
      <c r="K221" s="88"/>
      <c r="L221" s="143">
        <f t="shared" si="38"/>
        <v>0</v>
      </c>
      <c r="N221" s="81"/>
      <c r="R221" s="79" t="str">
        <f t="shared" si="39"/>
        <v>NOT</v>
      </c>
      <c r="S221" s="79" t="str">
        <f t="shared" si="40"/>
        <v>NOT</v>
      </c>
      <c r="T221" s="79" t="str">
        <f t="shared" si="41"/>
        <v>NOT</v>
      </c>
      <c r="V221" s="79" t="str">
        <f t="shared" si="42"/>
        <v/>
      </c>
    </row>
    <row r="222" spans="1:22" x14ac:dyDescent="0.2">
      <c r="B222" s="259"/>
      <c r="C222" s="88"/>
      <c r="D222" s="260"/>
      <c r="E222" s="243"/>
      <c r="F222" s="261"/>
      <c r="G222" s="243"/>
      <c r="H222" s="262"/>
      <c r="I222" s="243"/>
      <c r="J222" s="262"/>
      <c r="K222" s="88"/>
      <c r="L222" s="143">
        <f t="shared" si="38"/>
        <v>0</v>
      </c>
      <c r="N222" s="81"/>
      <c r="R222" s="79" t="str">
        <f t="shared" si="39"/>
        <v>NOT</v>
      </c>
      <c r="S222" s="79" t="str">
        <f t="shared" si="40"/>
        <v>NOT</v>
      </c>
      <c r="T222" s="79" t="str">
        <f t="shared" si="41"/>
        <v>NOT</v>
      </c>
      <c r="V222" s="79" t="str">
        <f t="shared" si="42"/>
        <v/>
      </c>
    </row>
    <row r="223" spans="1:22" x14ac:dyDescent="0.2">
      <c r="B223" s="259"/>
      <c r="C223" s="88"/>
      <c r="D223" s="260"/>
      <c r="E223" s="243"/>
      <c r="F223" s="261"/>
      <c r="G223" s="243"/>
      <c r="H223" s="262"/>
      <c r="I223" s="243"/>
      <c r="J223" s="262"/>
      <c r="K223" s="88"/>
      <c r="L223" s="143">
        <f t="shared" si="38"/>
        <v>0</v>
      </c>
      <c r="N223" s="81"/>
      <c r="R223" s="79" t="str">
        <f t="shared" si="39"/>
        <v>NOT</v>
      </c>
      <c r="S223" s="79" t="str">
        <f t="shared" si="40"/>
        <v>NOT</v>
      </c>
      <c r="T223" s="79" t="str">
        <f t="shared" si="41"/>
        <v>NOT</v>
      </c>
      <c r="V223" s="79" t="str">
        <f t="shared" si="42"/>
        <v/>
      </c>
    </row>
    <row r="224" spans="1:22" x14ac:dyDescent="0.2">
      <c r="B224" s="259"/>
      <c r="C224" s="88"/>
      <c r="D224" s="260"/>
      <c r="E224" s="243"/>
      <c r="F224" s="261"/>
      <c r="G224" s="243"/>
      <c r="H224" s="262"/>
      <c r="I224" s="243"/>
      <c r="J224" s="262"/>
      <c r="K224" s="88"/>
      <c r="L224" s="143">
        <f t="shared" si="38"/>
        <v>0</v>
      </c>
      <c r="N224" s="81"/>
      <c r="R224" s="79" t="str">
        <f t="shared" si="39"/>
        <v>NOT</v>
      </c>
      <c r="S224" s="79" t="str">
        <f t="shared" si="40"/>
        <v>NOT</v>
      </c>
      <c r="T224" s="79" t="str">
        <f t="shared" si="41"/>
        <v>NOT</v>
      </c>
      <c r="V224" s="79" t="str">
        <f t="shared" si="42"/>
        <v/>
      </c>
    </row>
    <row r="225" spans="1:22" x14ac:dyDescent="0.2">
      <c r="B225" s="104"/>
      <c r="C225" s="88"/>
      <c r="D225" s="81"/>
      <c r="F225" s="81"/>
      <c r="H225" s="81"/>
      <c r="J225" s="81"/>
      <c r="K225" s="88"/>
      <c r="L225" s="81"/>
      <c r="N225" s="227"/>
    </row>
    <row r="226" spans="1:22" ht="13.5" customHeight="1" x14ac:dyDescent="0.2">
      <c r="A226" s="276"/>
      <c r="B226" s="278" t="s">
        <v>302</v>
      </c>
      <c r="C226" s="249"/>
      <c r="D226" s="754" t="s">
        <v>300</v>
      </c>
      <c r="E226" s="755"/>
      <c r="F226" s="755"/>
      <c r="G226" s="755"/>
      <c r="H226" s="756"/>
      <c r="I226" s="250"/>
      <c r="J226" s="280" t="s">
        <v>18</v>
      </c>
      <c r="K226" s="88"/>
      <c r="L226" s="156">
        <f>IF(LEN(D1)&gt;5,1000,0)</f>
        <v>1000</v>
      </c>
      <c r="M226" s="246"/>
      <c r="N226" s="147">
        <f>IF(L226=0,0%,L226/L$8)</f>
        <v>6.8682026257138639E-3</v>
      </c>
      <c r="R226" s="79" t="e">
        <f>IF(AND(#REF!="NOT",#REF!="NOT",#REF!="NOT"),"NOT",D226)</f>
        <v>#REF!</v>
      </c>
    </row>
    <row r="227" spans="1:22" x14ac:dyDescent="0.2">
      <c r="B227" s="104"/>
      <c r="C227" s="88"/>
      <c r="D227" s="81"/>
      <c r="F227" s="81"/>
      <c r="H227" s="81"/>
      <c r="J227" s="81"/>
      <c r="K227" s="88"/>
      <c r="L227" s="81"/>
      <c r="N227" s="227"/>
      <c r="R227" s="321" t="str">
        <f>LEFT('1. General Data'!E25,5)</f>
        <v>2.1.1</v>
      </c>
      <c r="S227" s="231">
        <f>IF('9. Project budget summary'!T41&gt;0,'9. Project budget summary'!T37/'9. Project budget summary'!T41,0)</f>
        <v>0.52183891467003807</v>
      </c>
      <c r="T227" s="231" t="s">
        <v>170</v>
      </c>
      <c r="U227" s="320" t="s">
        <v>26</v>
      </c>
      <c r="V227" s="271">
        <v>0.5</v>
      </c>
    </row>
    <row r="228" spans="1:22" ht="40.5" customHeight="1" x14ac:dyDescent="0.2">
      <c r="A228" s="247">
        <v>7</v>
      </c>
      <c r="B228" s="248" t="s">
        <v>299</v>
      </c>
      <c r="C228" s="249"/>
      <c r="D228" s="317"/>
      <c r="E228" s="327"/>
      <c r="F228" s="757"/>
      <c r="G228" s="758"/>
      <c r="H228" s="759"/>
      <c r="I228" s="250"/>
      <c r="J228" s="251" t="s">
        <v>18</v>
      </c>
      <c r="K228" s="249"/>
      <c r="L228" s="252">
        <f>L230+L248</f>
        <v>21000</v>
      </c>
      <c r="M228" s="250"/>
      <c r="N228" s="253">
        <f>IF(L228=0,0%,L228/L$8)</f>
        <v>0.14423225513999113</v>
      </c>
      <c r="O228" s="94"/>
      <c r="P228" s="95"/>
      <c r="Q228" s="321" t="e">
        <f>IF(R227=#REF!,IF(#REF!&gt;#REF!,D228,0),IF(AND(OR(R227=U228,R227=#REF!,R227=U229),N228&gt;V228),D228,0))</f>
        <v>#REF!</v>
      </c>
      <c r="R228" s="321">
        <f>IF(AND(R227=U227,S227&lt;V227),F228,0)</f>
        <v>0</v>
      </c>
      <c r="S228" s="231">
        <f>IF('9. Project budget summary'!T41&gt;0,'9. Project budget summary'!T37/'9. Project budget summary'!T41,0)</f>
        <v>0.52183891467003807</v>
      </c>
      <c r="T228" s="231" t="s">
        <v>171</v>
      </c>
      <c r="U228" s="320" t="s">
        <v>32</v>
      </c>
      <c r="V228" s="271">
        <v>0.7</v>
      </c>
    </row>
    <row r="229" spans="1:22" s="76" customFormat="1" ht="7.5" customHeight="1" x14ac:dyDescent="0.2">
      <c r="A229" s="87"/>
      <c r="B229" s="88"/>
      <c r="C229" s="88"/>
      <c r="D229" s="70"/>
      <c r="E229" s="70"/>
      <c r="F229" s="70"/>
      <c r="G229" s="70"/>
      <c r="H229" s="70"/>
      <c r="I229" s="70"/>
      <c r="J229" s="70"/>
      <c r="K229" s="88"/>
      <c r="L229" s="70"/>
      <c r="M229" s="70"/>
      <c r="N229" s="70"/>
      <c r="O229" s="89"/>
      <c r="S229" s="231">
        <f>IF('9. Project budget summary'!T41&gt;0,'9. Project budget summary'!T37/'9. Project budget summary'!T41,0)</f>
        <v>0.52183891467003807</v>
      </c>
      <c r="T229" s="231" t="s">
        <v>171</v>
      </c>
      <c r="U229" s="320" t="s">
        <v>24</v>
      </c>
      <c r="V229" s="271">
        <v>0.7</v>
      </c>
    </row>
    <row r="230" spans="1:22" ht="28.5" customHeight="1" x14ac:dyDescent="0.2">
      <c r="A230" s="276"/>
      <c r="B230" s="278" t="s">
        <v>303</v>
      </c>
      <c r="C230" s="277"/>
      <c r="D230" s="747" t="s">
        <v>166</v>
      </c>
      <c r="E230" s="748"/>
      <c r="F230" s="748"/>
      <c r="G230" s="748"/>
      <c r="H230" s="748"/>
      <c r="I230" s="279"/>
      <c r="J230" s="280" t="s">
        <v>18</v>
      </c>
      <c r="K230" s="88"/>
      <c r="L230" s="156">
        <f>SUM(L237:L246)</f>
        <v>21000</v>
      </c>
      <c r="M230" s="246"/>
      <c r="N230" s="147">
        <f>IF(L230=0,0%,L230/L$8)</f>
        <v>0.14423225513999113</v>
      </c>
      <c r="O230" s="495">
        <f>IF(LEN(R230)&gt;3,1,0)</f>
        <v>0</v>
      </c>
      <c r="R230" s="79" t="str">
        <f>IF(AND(R236="NOT",S236="NOT",T236="NOT"),"NOT",D230)</f>
        <v>NOT</v>
      </c>
      <c r="U230" s="328"/>
    </row>
    <row r="231" spans="1:22" s="76" customFormat="1" ht="3" customHeight="1" x14ac:dyDescent="0.2">
      <c r="A231" s="87"/>
      <c r="B231" s="88"/>
      <c r="C231" s="88"/>
      <c r="D231" s="70"/>
      <c r="E231" s="70"/>
      <c r="F231" s="70"/>
      <c r="G231" s="70"/>
      <c r="H231" s="70"/>
      <c r="I231" s="70"/>
      <c r="J231" s="70"/>
      <c r="K231" s="88"/>
      <c r="L231" s="70"/>
      <c r="M231" s="70"/>
      <c r="N231" s="70"/>
      <c r="O231" s="89"/>
      <c r="V231" s="79"/>
    </row>
    <row r="232" spans="1:22" ht="29.25" customHeight="1" x14ac:dyDescent="0.2">
      <c r="B232" s="749" t="s">
        <v>203</v>
      </c>
      <c r="C232" s="750"/>
      <c r="D232" s="750"/>
      <c r="E232" s="750"/>
      <c r="F232" s="750"/>
      <c r="H232" s="81"/>
      <c r="J232" s="81"/>
      <c r="K232" s="88"/>
      <c r="L232" s="81"/>
      <c r="N232" s="227"/>
      <c r="R232" s="79" t="str">
        <f>IF(AND(($L230&gt;0),ISBLANK(B234)),B232,"NOT")</f>
        <v>NOT</v>
      </c>
    </row>
    <row r="233" spans="1:22" ht="3" customHeight="1" x14ac:dyDescent="0.2">
      <c r="B233" s="104"/>
      <c r="C233" s="88"/>
      <c r="D233" s="81"/>
      <c r="F233" s="81"/>
      <c r="H233" s="81"/>
      <c r="J233" s="81"/>
      <c r="K233" s="88"/>
      <c r="L233" s="81"/>
      <c r="N233" s="227"/>
    </row>
    <row r="234" spans="1:22" ht="90" customHeight="1" x14ac:dyDescent="0.2">
      <c r="B234" s="791" t="s">
        <v>876</v>
      </c>
      <c r="C234" s="792"/>
      <c r="D234" s="792"/>
      <c r="E234" s="792"/>
      <c r="F234" s="792"/>
      <c r="G234" s="792"/>
      <c r="H234" s="792"/>
      <c r="I234" s="792"/>
      <c r="J234" s="792"/>
      <c r="K234" s="792"/>
      <c r="L234" s="793"/>
      <c r="M234" s="70" t="s">
        <v>19</v>
      </c>
      <c r="N234" s="227"/>
    </row>
    <row r="235" spans="1:22" ht="3.75" customHeight="1" x14ac:dyDescent="0.2">
      <c r="B235" s="104"/>
      <c r="C235" s="88"/>
      <c r="D235" s="81"/>
      <c r="F235" s="81"/>
      <c r="H235" s="81"/>
      <c r="J235" s="81"/>
      <c r="K235" s="88"/>
      <c r="L235" s="81"/>
      <c r="N235" s="227"/>
    </row>
    <row r="236" spans="1:22" ht="12.75" customHeight="1" x14ac:dyDescent="0.2">
      <c r="B236" s="244" t="s">
        <v>17</v>
      </c>
      <c r="C236" s="88"/>
      <c r="D236" s="244" t="s">
        <v>580</v>
      </c>
      <c r="F236" s="244" t="s">
        <v>205</v>
      </c>
      <c r="H236" s="244" t="s">
        <v>16</v>
      </c>
      <c r="J236" s="244" t="s">
        <v>15</v>
      </c>
      <c r="K236" s="245"/>
      <c r="L236" s="103" t="s">
        <v>141</v>
      </c>
      <c r="N236" s="81"/>
      <c r="R236" s="255" t="str">
        <f>IF(AND(R237="NOT",R238="NOT",R239="NOT",R240="NOT",R241="NOT",R242="NOT",R243="NOT",R244="NOT",R245="NOT",R246="NOT",R232="NOT"),"NOT",D230)</f>
        <v>NOT</v>
      </c>
      <c r="S236" s="255" t="str">
        <f>IF(AND(S237="NOT",S238="NOT",S239="NOT",S240="NOT",S241="NOT",S242="NOT",S243="NOT",S244="NOT",S245="NOT",S246="NOT",R232="NOT"),"NOT",D230)</f>
        <v>NOT</v>
      </c>
      <c r="T236" s="255" t="str">
        <f>IF(AND(T237="NOT",T238="NOT",T239="NOT",T240="NOT",T241="NOT",T242="NOT",T243="NOT",T244="NOT",T245="NOT",T246="NOT",R232="NOT"),"NOT",D230)</f>
        <v>NOT</v>
      </c>
    </row>
    <row r="237" spans="1:22" ht="38.25" x14ac:dyDescent="0.2">
      <c r="B237" s="556" t="s">
        <v>877</v>
      </c>
      <c r="C237" s="88"/>
      <c r="D237" s="260" t="s">
        <v>898</v>
      </c>
      <c r="E237" s="243"/>
      <c r="F237" s="547" t="s">
        <v>764</v>
      </c>
      <c r="G237" s="243"/>
      <c r="H237" s="543">
        <v>1</v>
      </c>
      <c r="I237" s="243"/>
      <c r="J237" s="557">
        <v>21000</v>
      </c>
      <c r="K237" s="88"/>
      <c r="L237" s="143">
        <f t="shared" ref="L237:L246" si="43">TRUNC(H237*J237,2)</f>
        <v>21000</v>
      </c>
      <c r="N237" s="81"/>
      <c r="R237" s="79" t="str">
        <f t="shared" ref="R237:R246" si="44">IF(AND(($L237&gt;0),ISBLANK(B237)),B237,"NOT")</f>
        <v>NOT</v>
      </c>
      <c r="S237" s="79" t="str">
        <f t="shared" ref="S237:S246" si="45">IF(AND(($L237&gt;0),ISBLANK(D237)),D237,"NOT")</f>
        <v>NOT</v>
      </c>
      <c r="T237" s="79" t="str">
        <f t="shared" ref="T237:T246" si="46">IF(AND(($L237&gt;0),ISBLANK(F237)),F237,"NOT")</f>
        <v>NOT</v>
      </c>
      <c r="V237" s="79" t="str">
        <f t="shared" ref="V237:V246" si="47">LEFT(D237,3)</f>
        <v>10.</v>
      </c>
    </row>
    <row r="238" spans="1:22" x14ac:dyDescent="0.2">
      <c r="B238" s="259"/>
      <c r="C238" s="88"/>
      <c r="D238" s="260"/>
      <c r="E238" s="243"/>
      <c r="F238" s="261"/>
      <c r="G238" s="243"/>
      <c r="H238" s="262"/>
      <c r="I238" s="243"/>
      <c r="J238" s="262"/>
      <c r="K238" s="88"/>
      <c r="L238" s="143">
        <f t="shared" si="43"/>
        <v>0</v>
      </c>
      <c r="N238" s="81"/>
      <c r="R238" s="79" t="str">
        <f t="shared" si="44"/>
        <v>NOT</v>
      </c>
      <c r="S238" s="79" t="str">
        <f t="shared" si="45"/>
        <v>NOT</v>
      </c>
      <c r="T238" s="79" t="str">
        <f t="shared" si="46"/>
        <v>NOT</v>
      </c>
      <c r="V238" s="79" t="str">
        <f t="shared" si="47"/>
        <v/>
      </c>
    </row>
    <row r="239" spans="1:22" x14ac:dyDescent="0.2">
      <c r="B239" s="259"/>
      <c r="C239" s="88"/>
      <c r="D239" s="260"/>
      <c r="E239" s="243"/>
      <c r="F239" s="261"/>
      <c r="G239" s="243"/>
      <c r="H239" s="262"/>
      <c r="I239" s="243"/>
      <c r="J239" s="262"/>
      <c r="K239" s="88"/>
      <c r="L239" s="143">
        <f t="shared" si="43"/>
        <v>0</v>
      </c>
      <c r="N239" s="81"/>
      <c r="R239" s="79" t="str">
        <f t="shared" si="44"/>
        <v>NOT</v>
      </c>
      <c r="S239" s="79" t="str">
        <f t="shared" si="45"/>
        <v>NOT</v>
      </c>
      <c r="T239" s="79" t="str">
        <f t="shared" si="46"/>
        <v>NOT</v>
      </c>
      <c r="V239" s="79" t="str">
        <f t="shared" si="47"/>
        <v/>
      </c>
    </row>
    <row r="240" spans="1:22" x14ac:dyDescent="0.2">
      <c r="B240" s="259"/>
      <c r="C240" s="88"/>
      <c r="D240" s="260"/>
      <c r="E240" s="243"/>
      <c r="F240" s="261"/>
      <c r="G240" s="243"/>
      <c r="H240" s="262"/>
      <c r="I240" s="243"/>
      <c r="J240" s="262"/>
      <c r="K240" s="88"/>
      <c r="L240" s="143">
        <f t="shared" si="43"/>
        <v>0</v>
      </c>
      <c r="N240" s="81"/>
      <c r="R240" s="79" t="str">
        <f t="shared" si="44"/>
        <v>NOT</v>
      </c>
      <c r="S240" s="79" t="str">
        <f t="shared" si="45"/>
        <v>NOT</v>
      </c>
      <c r="T240" s="79" t="str">
        <f t="shared" si="46"/>
        <v>NOT</v>
      </c>
      <c r="V240" s="79" t="str">
        <f t="shared" si="47"/>
        <v/>
      </c>
    </row>
    <row r="241" spans="1:22" x14ac:dyDescent="0.2">
      <c r="B241" s="259"/>
      <c r="C241" s="88"/>
      <c r="D241" s="260"/>
      <c r="E241" s="243"/>
      <c r="F241" s="261"/>
      <c r="G241" s="243"/>
      <c r="H241" s="262"/>
      <c r="I241" s="243"/>
      <c r="J241" s="262"/>
      <c r="K241" s="88"/>
      <c r="L241" s="143">
        <f t="shared" si="43"/>
        <v>0</v>
      </c>
      <c r="N241" s="81"/>
      <c r="R241" s="79" t="str">
        <f t="shared" si="44"/>
        <v>NOT</v>
      </c>
      <c r="S241" s="79" t="str">
        <f t="shared" si="45"/>
        <v>NOT</v>
      </c>
      <c r="T241" s="79" t="str">
        <f t="shared" si="46"/>
        <v>NOT</v>
      </c>
      <c r="V241" s="79" t="str">
        <f t="shared" si="47"/>
        <v/>
      </c>
    </row>
    <row r="242" spans="1:22" x14ac:dyDescent="0.2">
      <c r="B242" s="259"/>
      <c r="C242" s="88"/>
      <c r="D242" s="260"/>
      <c r="E242" s="243"/>
      <c r="F242" s="261"/>
      <c r="G242" s="243"/>
      <c r="H242" s="262"/>
      <c r="I242" s="243"/>
      <c r="J242" s="262"/>
      <c r="K242" s="88"/>
      <c r="L242" s="143">
        <f t="shared" si="43"/>
        <v>0</v>
      </c>
      <c r="N242" s="81"/>
      <c r="R242" s="79" t="str">
        <f t="shared" si="44"/>
        <v>NOT</v>
      </c>
      <c r="S242" s="79" t="str">
        <f t="shared" si="45"/>
        <v>NOT</v>
      </c>
      <c r="T242" s="79" t="str">
        <f t="shared" si="46"/>
        <v>NOT</v>
      </c>
      <c r="V242" s="79" t="str">
        <f t="shared" si="47"/>
        <v/>
      </c>
    </row>
    <row r="243" spans="1:22" x14ac:dyDescent="0.2">
      <c r="B243" s="259"/>
      <c r="C243" s="88"/>
      <c r="D243" s="260"/>
      <c r="E243" s="243"/>
      <c r="F243" s="261"/>
      <c r="G243" s="243"/>
      <c r="H243" s="262"/>
      <c r="I243" s="243"/>
      <c r="J243" s="262"/>
      <c r="K243" s="88"/>
      <c r="L243" s="143">
        <f t="shared" si="43"/>
        <v>0</v>
      </c>
      <c r="N243" s="81"/>
      <c r="R243" s="79" t="str">
        <f t="shared" si="44"/>
        <v>NOT</v>
      </c>
      <c r="S243" s="79" t="str">
        <f t="shared" si="45"/>
        <v>NOT</v>
      </c>
      <c r="T243" s="79" t="str">
        <f t="shared" si="46"/>
        <v>NOT</v>
      </c>
      <c r="V243" s="79" t="str">
        <f t="shared" si="47"/>
        <v/>
      </c>
    </row>
    <row r="244" spans="1:22" x14ac:dyDescent="0.2">
      <c r="B244" s="259"/>
      <c r="C244" s="88"/>
      <c r="D244" s="260"/>
      <c r="E244" s="243"/>
      <c r="F244" s="261"/>
      <c r="G244" s="243"/>
      <c r="H244" s="262"/>
      <c r="I244" s="243"/>
      <c r="J244" s="262"/>
      <c r="K244" s="88"/>
      <c r="L244" s="143">
        <f t="shared" si="43"/>
        <v>0</v>
      </c>
      <c r="N244" s="81"/>
      <c r="R244" s="79" t="str">
        <f t="shared" si="44"/>
        <v>NOT</v>
      </c>
      <c r="S244" s="79" t="str">
        <f t="shared" si="45"/>
        <v>NOT</v>
      </c>
      <c r="T244" s="79" t="str">
        <f t="shared" si="46"/>
        <v>NOT</v>
      </c>
      <c r="V244" s="79" t="str">
        <f t="shared" si="47"/>
        <v/>
      </c>
    </row>
    <row r="245" spans="1:22" x14ac:dyDescent="0.2">
      <c r="B245" s="259"/>
      <c r="C245" s="88"/>
      <c r="D245" s="260"/>
      <c r="E245" s="243"/>
      <c r="F245" s="261"/>
      <c r="G245" s="243"/>
      <c r="H245" s="262"/>
      <c r="I245" s="243"/>
      <c r="J245" s="262"/>
      <c r="K245" s="88"/>
      <c r="L245" s="143">
        <f t="shared" si="43"/>
        <v>0</v>
      </c>
      <c r="N245" s="81"/>
      <c r="R245" s="79" t="str">
        <f t="shared" si="44"/>
        <v>NOT</v>
      </c>
      <c r="S245" s="79" t="str">
        <f t="shared" si="45"/>
        <v>NOT</v>
      </c>
      <c r="T245" s="79" t="str">
        <f t="shared" si="46"/>
        <v>NOT</v>
      </c>
      <c r="V245" s="79" t="str">
        <f t="shared" si="47"/>
        <v/>
      </c>
    </row>
    <row r="246" spans="1:22" x14ac:dyDescent="0.2">
      <c r="B246" s="259"/>
      <c r="C246" s="88"/>
      <c r="D246" s="260"/>
      <c r="E246" s="243"/>
      <c r="F246" s="261"/>
      <c r="G246" s="243"/>
      <c r="H246" s="262"/>
      <c r="I246" s="243"/>
      <c r="J246" s="262"/>
      <c r="K246" s="88"/>
      <c r="L246" s="143">
        <f t="shared" si="43"/>
        <v>0</v>
      </c>
      <c r="N246" s="81"/>
      <c r="R246" s="79" t="str">
        <f t="shared" si="44"/>
        <v>NOT</v>
      </c>
      <c r="S246" s="79" t="str">
        <f t="shared" si="45"/>
        <v>NOT</v>
      </c>
      <c r="T246" s="79" t="str">
        <f t="shared" si="46"/>
        <v>NOT</v>
      </c>
      <c r="V246" s="79" t="str">
        <f t="shared" si="47"/>
        <v/>
      </c>
    </row>
    <row r="247" spans="1:22" x14ac:dyDescent="0.2">
      <c r="B247" s="104"/>
      <c r="C247" s="88"/>
      <c r="D247" s="81"/>
      <c r="F247" s="81"/>
      <c r="H247" s="81"/>
      <c r="J247" s="81"/>
      <c r="K247" s="88"/>
      <c r="L247" s="81"/>
      <c r="N247" s="227"/>
    </row>
    <row r="248" spans="1:22" ht="13.5" customHeight="1" x14ac:dyDescent="0.2">
      <c r="A248" s="276"/>
      <c r="B248" s="278" t="s">
        <v>304</v>
      </c>
      <c r="C248" s="277"/>
      <c r="D248" s="747" t="s">
        <v>166</v>
      </c>
      <c r="E248" s="748"/>
      <c r="F248" s="748"/>
      <c r="G248" s="748"/>
      <c r="H248" s="748"/>
      <c r="I248" s="279"/>
      <c r="J248" s="280" t="s">
        <v>18</v>
      </c>
      <c r="K248" s="88"/>
      <c r="L248" s="156">
        <f>SUM(L255:L258)</f>
        <v>0</v>
      </c>
      <c r="M248" s="246"/>
      <c r="N248" s="147">
        <f>IF(L248=0,0%,L248/L$8)</f>
        <v>0</v>
      </c>
      <c r="O248" s="495">
        <f>IF(LEN(R248)&gt;3,1,0)</f>
        <v>0</v>
      </c>
      <c r="P248" s="270">
        <v>0.1</v>
      </c>
      <c r="Q248" s="231" t="str">
        <f>IF('9. Project budget summary'!X39=1,B249,"")</f>
        <v/>
      </c>
      <c r="R248" s="79" t="str">
        <f>IF(AND(R254="NOT",S254="NOT",T254="NOT"),"NOT",D248)</f>
        <v>NOT</v>
      </c>
    </row>
    <row r="249" spans="1:22" s="76" customFormat="1" ht="27" customHeight="1" x14ac:dyDescent="0.2">
      <c r="A249" s="87"/>
      <c r="B249" s="752" t="s">
        <v>643</v>
      </c>
      <c r="C249" s="753"/>
      <c r="D249" s="753"/>
      <c r="E249" s="753"/>
      <c r="F249" s="753"/>
      <c r="G249" s="753"/>
      <c r="H249" s="753"/>
      <c r="I249" s="753"/>
      <c r="J249" s="753"/>
      <c r="K249" s="88"/>
      <c r="L249" s="70"/>
      <c r="M249" s="70"/>
      <c r="N249" s="70"/>
      <c r="O249" s="495">
        <f>IF(LEN(Q248)&gt;3,1,0)</f>
        <v>0</v>
      </c>
      <c r="Q249" s="272"/>
      <c r="V249" s="79"/>
    </row>
    <row r="250" spans="1:22" x14ac:dyDescent="0.2">
      <c r="B250" s="742" t="s">
        <v>197</v>
      </c>
      <c r="C250" s="743"/>
      <c r="D250" s="743"/>
      <c r="E250" s="743"/>
      <c r="F250" s="743"/>
      <c r="H250" s="81"/>
      <c r="J250" s="81"/>
      <c r="K250" s="88"/>
      <c r="L250" s="81"/>
      <c r="N250" s="227"/>
      <c r="R250" s="79" t="str">
        <f>IF(AND(($L248&gt;0),ISBLANK(B252)),B250,"NOT")</f>
        <v>NOT</v>
      </c>
    </row>
    <row r="251" spans="1:22" ht="3" customHeight="1" x14ac:dyDescent="0.2">
      <c r="B251" s="104"/>
      <c r="C251" s="88"/>
      <c r="D251" s="81"/>
      <c r="F251" s="81"/>
      <c r="H251" s="81"/>
      <c r="J251" s="81"/>
      <c r="K251" s="88"/>
      <c r="L251" s="81"/>
      <c r="N251" s="227"/>
    </row>
    <row r="252" spans="1:22" ht="48" customHeight="1" x14ac:dyDescent="0.2">
      <c r="B252" s="744"/>
      <c r="C252" s="745"/>
      <c r="D252" s="745"/>
      <c r="E252" s="745"/>
      <c r="F252" s="745"/>
      <c r="G252" s="745"/>
      <c r="H252" s="745"/>
      <c r="I252" s="745"/>
      <c r="J252" s="745"/>
      <c r="K252" s="745"/>
      <c r="L252" s="746"/>
      <c r="M252" s="70" t="s">
        <v>19</v>
      </c>
      <c r="N252" s="227"/>
    </row>
    <row r="253" spans="1:22" ht="3.75" customHeight="1" x14ac:dyDescent="0.2">
      <c r="B253" s="104"/>
      <c r="C253" s="88"/>
      <c r="D253" s="81"/>
      <c r="F253" s="81"/>
      <c r="H253" s="81"/>
      <c r="J253" s="81"/>
      <c r="K253" s="88"/>
      <c r="L253" s="81"/>
      <c r="N253" s="227"/>
    </row>
    <row r="254" spans="1:22" ht="12.75" customHeight="1" x14ac:dyDescent="0.2">
      <c r="B254" s="244" t="s">
        <v>17</v>
      </c>
      <c r="C254" s="88"/>
      <c r="D254" s="244" t="s">
        <v>580</v>
      </c>
      <c r="F254" s="244" t="s">
        <v>205</v>
      </c>
      <c r="H254" s="244" t="s">
        <v>16</v>
      </c>
      <c r="J254" s="244" t="s">
        <v>15</v>
      </c>
      <c r="K254" s="245"/>
      <c r="L254" s="103" t="s">
        <v>141</v>
      </c>
      <c r="N254" s="81"/>
      <c r="R254" s="255" t="str">
        <f>IF(AND(R255="NOT",R256="NOT",R257="NOT",R258="NOT",R250="NOT"),"NOT",D248)</f>
        <v>NOT</v>
      </c>
      <c r="S254" s="255" t="str">
        <f>IF(AND(S255="NOT",S256="NOT",S257="NOT",S258="NOT",R250="NOT"),"NOT",D248)</f>
        <v>NOT</v>
      </c>
      <c r="T254" s="255" t="str">
        <f>IF(AND(T255="NOT",T256="NOT",T257="NOT",T258="NOT",R250="NOT"),"NOT",D248)</f>
        <v>NOT</v>
      </c>
    </row>
    <row r="255" spans="1:22" x14ac:dyDescent="0.2">
      <c r="B255" s="259"/>
      <c r="C255" s="88"/>
      <c r="D255" s="260"/>
      <c r="E255" s="243"/>
      <c r="F255" s="261"/>
      <c r="G255" s="243"/>
      <c r="H255" s="262"/>
      <c r="I255" s="243"/>
      <c r="J255" s="262"/>
      <c r="K255" s="88"/>
      <c r="L255" s="143">
        <f>TRUNC(H255*J255,2)</f>
        <v>0</v>
      </c>
      <c r="N255" s="81"/>
      <c r="R255" s="79" t="str">
        <f>IF(AND(($L255&gt;0),ISBLANK(B255)),B255,"NOT")</f>
        <v>NOT</v>
      </c>
      <c r="S255" s="79" t="str">
        <f>IF(AND(($L255&gt;0),ISBLANK(D255)),D255,"NOT")</f>
        <v>NOT</v>
      </c>
      <c r="T255" s="79" t="str">
        <f>IF(AND(($L255&gt;0),ISBLANK(F255)),F255,"NOT")</f>
        <v>NOT</v>
      </c>
      <c r="V255" s="79" t="str">
        <f>LEFT(D255,3)</f>
        <v/>
      </c>
    </row>
    <row r="256" spans="1:22" x14ac:dyDescent="0.2">
      <c r="B256" s="259"/>
      <c r="C256" s="88"/>
      <c r="D256" s="260"/>
      <c r="E256" s="243"/>
      <c r="F256" s="261"/>
      <c r="G256" s="243"/>
      <c r="H256" s="262"/>
      <c r="I256" s="243"/>
      <c r="J256" s="262"/>
      <c r="K256" s="88"/>
      <c r="L256" s="143">
        <f>TRUNC(H256*J256,2)</f>
        <v>0</v>
      </c>
      <c r="N256" s="81"/>
      <c r="R256" s="79" t="str">
        <f>IF(AND(($L256&gt;0),ISBLANK(B256)),B256,"NOT")</f>
        <v>NOT</v>
      </c>
      <c r="S256" s="79" t="str">
        <f>IF(AND(($L256&gt;0),ISBLANK(D256)),D256,"NOT")</f>
        <v>NOT</v>
      </c>
      <c r="T256" s="79" t="str">
        <f>IF(AND(($L256&gt;0),ISBLANK(F256)),F256,"NOT")</f>
        <v>NOT</v>
      </c>
      <c r="V256" s="79" t="str">
        <f>LEFT(D256,3)</f>
        <v/>
      </c>
    </row>
    <row r="257" spans="1:22" x14ac:dyDescent="0.2">
      <c r="B257" s="259"/>
      <c r="C257" s="88"/>
      <c r="D257" s="260"/>
      <c r="E257" s="243"/>
      <c r="F257" s="261"/>
      <c r="G257" s="243"/>
      <c r="H257" s="262"/>
      <c r="I257" s="243"/>
      <c r="J257" s="262"/>
      <c r="K257" s="88"/>
      <c r="L257" s="143">
        <f>TRUNC(H257*J257,2)</f>
        <v>0</v>
      </c>
      <c r="N257" s="81"/>
      <c r="R257" s="79" t="str">
        <f>IF(AND(($L257&gt;0),ISBLANK(B257)),B257,"NOT")</f>
        <v>NOT</v>
      </c>
      <c r="S257" s="79" t="str">
        <f>IF(AND(($L257&gt;0),ISBLANK(D257)),D257,"NOT")</f>
        <v>NOT</v>
      </c>
      <c r="T257" s="79" t="str">
        <f>IF(AND(($L257&gt;0),ISBLANK(F257)),F257,"NOT")</f>
        <v>NOT</v>
      </c>
      <c r="V257" s="79" t="str">
        <f>LEFT(D257,3)</f>
        <v/>
      </c>
    </row>
    <row r="258" spans="1:22" x14ac:dyDescent="0.2">
      <c r="B258" s="259"/>
      <c r="C258" s="88"/>
      <c r="D258" s="260"/>
      <c r="E258" s="243"/>
      <c r="F258" s="261"/>
      <c r="G258" s="243"/>
      <c r="H258" s="262"/>
      <c r="I258" s="243"/>
      <c r="J258" s="262"/>
      <c r="K258" s="88"/>
      <c r="L258" s="143">
        <f>TRUNC(H258*J258,2)</f>
        <v>0</v>
      </c>
      <c r="N258" s="81"/>
      <c r="R258" s="79" t="str">
        <f>IF(AND(($L258&gt;0),ISBLANK(B258)),B258,"NOT")</f>
        <v>NOT</v>
      </c>
      <c r="S258" s="79" t="str">
        <f>IF(AND(($L258&gt;0),ISBLANK(D258)),D258,"NOT")</f>
        <v>NOT</v>
      </c>
      <c r="T258" s="79" t="str">
        <f>IF(AND(($L258&gt;0),ISBLANK(F258)),F258,"NOT")</f>
        <v>NOT</v>
      </c>
      <c r="V258" s="79" t="str">
        <f>LEFT(D258,3)</f>
        <v/>
      </c>
    </row>
    <row r="259" spans="1:22" s="76" customFormat="1" ht="12.75" customHeight="1" x14ac:dyDescent="0.2">
      <c r="A259" s="87"/>
      <c r="B259" s="88"/>
      <c r="C259" s="88"/>
      <c r="D259" s="70"/>
      <c r="E259" s="70"/>
      <c r="F259" s="70"/>
      <c r="G259" s="70"/>
      <c r="H259" s="70"/>
      <c r="I259" s="70"/>
      <c r="J259" s="70"/>
      <c r="K259" s="88"/>
      <c r="L259" s="70"/>
      <c r="M259" s="70"/>
      <c r="N259" s="70"/>
      <c r="O259" s="89"/>
      <c r="V259" s="79"/>
    </row>
    <row r="260" spans="1:22" ht="18" customHeight="1" x14ac:dyDescent="0.2">
      <c r="A260" s="263"/>
      <c r="B260" s="264"/>
      <c r="C260" s="265"/>
      <c r="D260" s="266"/>
      <c r="E260" s="267"/>
      <c r="F260" s="266"/>
      <c r="G260" s="267"/>
      <c r="H260" s="266"/>
      <c r="I260" s="267"/>
      <c r="J260" s="266"/>
      <c r="K260" s="265"/>
      <c r="L260" s="266"/>
      <c r="M260" s="267"/>
      <c r="N260" s="268"/>
    </row>
    <row r="261" spans="1:22" hidden="1" x14ac:dyDescent="0.2"/>
    <row r="262" spans="1:22" ht="25.5" hidden="1" x14ac:dyDescent="0.2">
      <c r="C262" s="44" t="str">
        <f>LEFT(D262,3)</f>
        <v xml:space="preserve">1. </v>
      </c>
      <c r="D262" s="465" t="str">
        <f>CONCATENATE('6. Project Activities'!A10," ",'6. Project Activities'!B10)</f>
        <v>1. Project administration and management</v>
      </c>
      <c r="L262" s="44">
        <f t="shared" ref="L262:L285" si="48">SUMIF($V$11:$V$259,C262,$L$11:$L$259)</f>
        <v>13948.5</v>
      </c>
    </row>
    <row r="263" spans="1:22" hidden="1" x14ac:dyDescent="0.2">
      <c r="C263" s="44" t="str">
        <f t="shared" ref="C263:C285" si="49">LEFT(D263,3)</f>
        <v xml:space="preserve">2. </v>
      </c>
      <c r="D263" s="465" t="str">
        <f>CONCATENATE('6. Project Activities'!A11," ",'6. Project Activities'!B11)</f>
        <v>2. Information and publicity</v>
      </c>
      <c r="L263" s="44">
        <f t="shared" si="48"/>
        <v>36000</v>
      </c>
    </row>
    <row r="264" spans="1:22" ht="38.25" hidden="1" x14ac:dyDescent="0.2">
      <c r="C264" s="44" t="str">
        <f t="shared" si="49"/>
        <v xml:space="preserve">3. </v>
      </c>
      <c r="D264" s="465" t="str">
        <f>CONCATENATE('6. Project Activities'!A12," ",'6. Project Activities'!B12)</f>
        <v>3. Activity 3.1: Organisation of project conferences and regular press conferences</v>
      </c>
      <c r="L264" s="44">
        <f t="shared" si="48"/>
        <v>0</v>
      </c>
    </row>
    <row r="265" spans="1:22" ht="38.25" hidden="1" x14ac:dyDescent="0.2">
      <c r="C265" s="44" t="str">
        <f t="shared" si="49"/>
        <v xml:space="preserve">4. </v>
      </c>
      <c r="D265" s="465" t="str">
        <f>CONCATENATE('6. Project Activities'!A13," ",'6. Project Activities'!B13)</f>
        <v>4. Activity 3.2: Creation and regular updating of project website, project presence in Social media</v>
      </c>
      <c r="L265" s="44">
        <f t="shared" si="48"/>
        <v>0</v>
      </c>
    </row>
    <row r="266" spans="1:22" ht="25.5" hidden="1" x14ac:dyDescent="0.2">
      <c r="C266" s="44" t="str">
        <f t="shared" si="49"/>
        <v xml:space="preserve">5. </v>
      </c>
      <c r="D266" s="465" t="str">
        <f>CONCATENATE('6. Project Activities'!A14," ",'6. Project Activities'!B14)</f>
        <v>5. Activity 3.3: Development of multilingual mobile App</v>
      </c>
      <c r="L266" s="44">
        <f t="shared" si="48"/>
        <v>0</v>
      </c>
    </row>
    <row r="267" spans="1:22" ht="38.25" hidden="1" x14ac:dyDescent="0.2">
      <c r="C267" s="44" t="str">
        <f t="shared" si="49"/>
        <v xml:space="preserve">6. </v>
      </c>
      <c r="D267" s="465" t="str">
        <f>CONCATENATE('6. Project Activities'!A15," ",'6. Project Activities'!B15)</f>
        <v>6. Activity 3.4: Organisation of local and cross-border events for cyclists</v>
      </c>
      <c r="L267" s="44">
        <f t="shared" si="48"/>
        <v>25000</v>
      </c>
    </row>
    <row r="268" spans="1:22" ht="38.25" hidden="1" x14ac:dyDescent="0.2">
      <c r="C268" s="44" t="str">
        <f t="shared" si="49"/>
        <v xml:space="preserve">7. </v>
      </c>
      <c r="D268" s="465" t="str">
        <f>CONCATENATE('6. Project Activities'!A16," ",'6. Project Activities'!B16)</f>
        <v>7. Activity 3.5: Organisation of Summer Cycling Camp for primary school kids in Croatia</v>
      </c>
      <c r="L268" s="44">
        <f t="shared" si="48"/>
        <v>0</v>
      </c>
    </row>
    <row r="269" spans="1:22" ht="38.25" hidden="1" x14ac:dyDescent="0.2">
      <c r="C269" s="44" t="str">
        <f t="shared" si="49"/>
        <v xml:space="preserve">8. </v>
      </c>
      <c r="D269" s="465" t="str">
        <f>CONCATENATE('6. Project Activities'!A17," ",'6. Project Activities'!B17)</f>
        <v>8. Activity 3.6: Organisation of “Safety in traffic for cyclists” workshops</v>
      </c>
      <c r="L269" s="44">
        <f t="shared" si="48"/>
        <v>5000</v>
      </c>
    </row>
    <row r="270" spans="1:22" ht="38.25" hidden="1" x14ac:dyDescent="0.2">
      <c r="C270" s="44" t="str">
        <f t="shared" si="49"/>
        <v xml:space="preserve">9. </v>
      </c>
      <c r="D270" s="465" t="str">
        <f>CONCATENATE('6. Project Activities'!A18," ",'6. Project Activities'!B18)</f>
        <v>9. Activity 4.1: Development of missing sections of the bicycle routes in Ludbreg area</v>
      </c>
      <c r="L270" s="44">
        <f t="shared" si="48"/>
        <v>0</v>
      </c>
    </row>
    <row r="271" spans="1:22" ht="38.25" hidden="1" x14ac:dyDescent="0.2">
      <c r="C271" s="44" t="str">
        <f t="shared" si="49"/>
        <v>10.</v>
      </c>
      <c r="D271" s="465" t="str">
        <f>CONCATENATE('6. Project Activities'!A19," ",'6. Project Activities'!B19)</f>
        <v>10. Activity 4.2: Adaptation and arrangement of the part of a local road Ludbreg</v>
      </c>
      <c r="L271" s="44">
        <f t="shared" si="48"/>
        <v>21500</v>
      </c>
    </row>
    <row r="272" spans="1:22" ht="25.5" hidden="1" x14ac:dyDescent="0.2">
      <c r="C272" s="44" t="str">
        <f t="shared" si="49"/>
        <v>11.</v>
      </c>
      <c r="D272" s="465" t="str">
        <f>CONCATENATE('6. Project Activities'!A20," ",'6. Project Activities'!B20)</f>
        <v>11. Activity 4.3: Establishment of Cyclist Centre in Letenye</v>
      </c>
      <c r="L272" s="44">
        <f t="shared" si="48"/>
        <v>0</v>
      </c>
    </row>
    <row r="273" spans="3:12" ht="51" hidden="1" x14ac:dyDescent="0.2">
      <c r="C273" s="44" t="str">
        <f t="shared" si="49"/>
        <v>12.</v>
      </c>
      <c r="D273" s="465" t="str">
        <f>CONCATENATE('6. Project Activities'!A21," ",'6. Project Activities'!B21)</f>
        <v>12. Activity 4.4: Preparation of technical documentation for obtaining a building permit for bike paths" - Draškovec Oporovec</v>
      </c>
      <c r="L273" s="44">
        <f t="shared" si="48"/>
        <v>0</v>
      </c>
    </row>
    <row r="274" spans="3:12" ht="38.25" hidden="1" x14ac:dyDescent="0.2">
      <c r="C274" s="44" t="str">
        <f t="shared" si="49"/>
        <v>13.</v>
      </c>
      <c r="D274" s="465" t="str">
        <f>CONCATENATE('6. Project Activities'!A22," ",'6. Project Activities'!B22)</f>
        <v>13. Activity 4.5: Adaptation/reconstruction of the restplace for cyclist in Oporovec</v>
      </c>
      <c r="L274" s="44">
        <f t="shared" si="48"/>
        <v>0</v>
      </c>
    </row>
    <row r="275" spans="3:12" ht="51" hidden="1" x14ac:dyDescent="0.2">
      <c r="C275" s="44" t="str">
        <f t="shared" si="49"/>
        <v>14.</v>
      </c>
      <c r="D275" s="465" t="str">
        <f>CONCATENATE('6. Project Activities'!A23," ",'6. Project Activities'!B23)</f>
        <v>14. Activity 4.6: Establishment of restplaces, info points and installation of information boards alongside the bicycle routes</v>
      </c>
      <c r="L275" s="44">
        <f t="shared" si="48"/>
        <v>41350</v>
      </c>
    </row>
    <row r="276" spans="3:12" hidden="1" x14ac:dyDescent="0.2">
      <c r="C276" s="44" t="str">
        <f t="shared" si="49"/>
        <v>15.</v>
      </c>
      <c r="D276" s="465" t="str">
        <f>CONCATENATE('6. Project Activities'!A24," ",'6. Project Activities'!B24)</f>
        <v xml:space="preserve">15. </v>
      </c>
      <c r="L276" s="44">
        <f t="shared" si="48"/>
        <v>0</v>
      </c>
    </row>
    <row r="277" spans="3:12" hidden="1" x14ac:dyDescent="0.2">
      <c r="C277" s="44" t="str">
        <f t="shared" si="49"/>
        <v>16.</v>
      </c>
      <c r="D277" s="465" t="str">
        <f>CONCATENATE('6. Project Activities'!A25," ",'6. Project Activities'!B25)</f>
        <v xml:space="preserve">16. </v>
      </c>
      <c r="L277" s="44">
        <f t="shared" si="48"/>
        <v>0</v>
      </c>
    </row>
    <row r="278" spans="3:12" hidden="1" x14ac:dyDescent="0.2">
      <c r="C278" s="44" t="str">
        <f t="shared" si="49"/>
        <v>17.</v>
      </c>
      <c r="D278" s="465" t="str">
        <f>CONCATENATE('6. Project Activities'!A26," ",'6. Project Activities'!B26)</f>
        <v xml:space="preserve">17. </v>
      </c>
      <c r="L278" s="44">
        <f t="shared" si="48"/>
        <v>0</v>
      </c>
    </row>
    <row r="279" spans="3:12" hidden="1" x14ac:dyDescent="0.2">
      <c r="C279" s="44" t="str">
        <f t="shared" si="49"/>
        <v>18.</v>
      </c>
      <c r="D279" s="465" t="str">
        <f>CONCATENATE('6. Project Activities'!A27," ",'6. Project Activities'!B27)</f>
        <v xml:space="preserve">18. </v>
      </c>
      <c r="L279" s="44">
        <f t="shared" si="48"/>
        <v>0</v>
      </c>
    </row>
    <row r="280" spans="3:12" hidden="1" x14ac:dyDescent="0.2">
      <c r="C280" s="44" t="str">
        <f t="shared" si="49"/>
        <v>19.</v>
      </c>
      <c r="D280" s="465" t="str">
        <f>CONCATENATE('6. Project Activities'!A28," ",'6. Project Activities'!B28)</f>
        <v xml:space="preserve">19. </v>
      </c>
      <c r="L280" s="44">
        <f t="shared" si="48"/>
        <v>0</v>
      </c>
    </row>
    <row r="281" spans="3:12" hidden="1" x14ac:dyDescent="0.2">
      <c r="C281" s="44" t="str">
        <f t="shared" si="49"/>
        <v>20.</v>
      </c>
      <c r="D281" s="465" t="str">
        <f>CONCATENATE('6. Project Activities'!A29," ",'6. Project Activities'!B29)</f>
        <v xml:space="preserve">20. </v>
      </c>
      <c r="L281" s="44">
        <f t="shared" si="48"/>
        <v>0</v>
      </c>
    </row>
    <row r="282" spans="3:12" hidden="1" x14ac:dyDescent="0.2">
      <c r="C282" s="44" t="str">
        <f t="shared" si="49"/>
        <v>21.</v>
      </c>
      <c r="D282" s="465" t="str">
        <f>CONCATENATE('6. Project Activities'!A30," ",'6. Project Activities'!B30)</f>
        <v xml:space="preserve">21. </v>
      </c>
      <c r="L282" s="44">
        <f t="shared" si="48"/>
        <v>0</v>
      </c>
    </row>
    <row r="283" spans="3:12" hidden="1" x14ac:dyDescent="0.2">
      <c r="C283" s="44" t="str">
        <f t="shared" si="49"/>
        <v>22.</v>
      </c>
      <c r="D283" s="465" t="str">
        <f>CONCATENATE('6. Project Activities'!A31," ",'6. Project Activities'!B31)</f>
        <v xml:space="preserve">22. </v>
      </c>
      <c r="L283" s="44">
        <f t="shared" si="48"/>
        <v>0</v>
      </c>
    </row>
    <row r="284" spans="3:12" hidden="1" x14ac:dyDescent="0.2">
      <c r="C284" s="44" t="str">
        <f t="shared" si="49"/>
        <v>23.</v>
      </c>
      <c r="D284" s="465" t="str">
        <f>CONCATENATE('6. Project Activities'!A32," ",'6. Project Activities'!B32)</f>
        <v xml:space="preserve">23. </v>
      </c>
      <c r="L284" s="44">
        <f t="shared" si="48"/>
        <v>0</v>
      </c>
    </row>
    <row r="285" spans="3:12" hidden="1" x14ac:dyDescent="0.2">
      <c r="C285" s="44" t="str">
        <f t="shared" si="49"/>
        <v>24.</v>
      </c>
      <c r="D285" s="465" t="str">
        <f>CONCATENATE('6. Project Activities'!A33," ",'6. Project Activities'!B33)</f>
        <v xml:space="preserve">24. </v>
      </c>
      <c r="L285" s="44">
        <f t="shared" si="48"/>
        <v>0</v>
      </c>
    </row>
    <row r="286" spans="3:12" x14ac:dyDescent="0.2">
      <c r="C286" s="44"/>
    </row>
    <row r="287" spans="3:12" x14ac:dyDescent="0.2">
      <c r="C287" s="44"/>
    </row>
    <row r="288" spans="3:12" x14ac:dyDescent="0.2">
      <c r="C288" s="44"/>
    </row>
    <row r="289" spans="3:3" x14ac:dyDescent="0.2">
      <c r="C289" s="44"/>
    </row>
    <row r="290" spans="3:3" x14ac:dyDescent="0.2">
      <c r="C290" s="44"/>
    </row>
    <row r="291" spans="3:3" x14ac:dyDescent="0.2">
      <c r="C291" s="44"/>
    </row>
  </sheetData>
  <sheetProtection password="F58B" sheet="1" objects="1" scenarios="1" formatCells="0" selectLockedCells="1"/>
  <mergeCells count="60">
    <mergeCell ref="B103:F103"/>
    <mergeCell ref="B105:L105"/>
    <mergeCell ref="B17:L17"/>
    <mergeCell ref="D112:H112"/>
    <mergeCell ref="B18:F18"/>
    <mergeCell ref="B20:L20"/>
    <mergeCell ref="D40:H40"/>
    <mergeCell ref="D42:H42"/>
    <mergeCell ref="D44:H44"/>
    <mergeCell ref="B46:F46"/>
    <mergeCell ref="B48:L48"/>
    <mergeCell ref="D80:H80"/>
    <mergeCell ref="B82:F82"/>
    <mergeCell ref="B84:L84"/>
    <mergeCell ref="D99:H99"/>
    <mergeCell ref="D101:H101"/>
    <mergeCell ref="D62:H62"/>
    <mergeCell ref="B64:F64"/>
    <mergeCell ref="B66:L66"/>
    <mergeCell ref="A1:B1"/>
    <mergeCell ref="D1:N1"/>
    <mergeCell ref="D14:H14"/>
    <mergeCell ref="B15:L15"/>
    <mergeCell ref="D16:H16"/>
    <mergeCell ref="D10:H10"/>
    <mergeCell ref="D3:N3"/>
    <mergeCell ref="D5:N5"/>
    <mergeCell ref="D12:H12"/>
    <mergeCell ref="D8:H8"/>
    <mergeCell ref="B116:L116"/>
    <mergeCell ref="D130:H130"/>
    <mergeCell ref="B114:F114"/>
    <mergeCell ref="B132:F132"/>
    <mergeCell ref="B134:L134"/>
    <mergeCell ref="D148:H148"/>
    <mergeCell ref="B149:L149"/>
    <mergeCell ref="B150:F150"/>
    <mergeCell ref="B152:L152"/>
    <mergeCell ref="D162:H162"/>
    <mergeCell ref="B164:F164"/>
    <mergeCell ref="B166:L166"/>
    <mergeCell ref="D174:H174"/>
    <mergeCell ref="B176:F176"/>
    <mergeCell ref="B178:L178"/>
    <mergeCell ref="D192:H192"/>
    <mergeCell ref="B194:F194"/>
    <mergeCell ref="B196:L196"/>
    <mergeCell ref="D206:H206"/>
    <mergeCell ref="D208:H208"/>
    <mergeCell ref="B210:F210"/>
    <mergeCell ref="D248:H248"/>
    <mergeCell ref="B249:J249"/>
    <mergeCell ref="B250:F250"/>
    <mergeCell ref="B252:L252"/>
    <mergeCell ref="B212:L212"/>
    <mergeCell ref="D226:H226"/>
    <mergeCell ref="F228:H228"/>
    <mergeCell ref="D230:H230"/>
    <mergeCell ref="B232:F232"/>
    <mergeCell ref="B234:L234"/>
  </mergeCells>
  <phoneticPr fontId="3" type="noConversion"/>
  <conditionalFormatting sqref="D16:H16 B18:F18 D62:H62 D44:H44 B64:F64 B46:F46 D80:H80 B82:F82 D112:H112 D101:H101 B114:F114 B103:F103 D130:H130 B132:F132 D148:H148 B150:F150 D162:H162 B164:F164 D174:H174 D192:H192 D208:H208 B210:F210 D248:H248 D230:H230 B250:F250 B232:F232">
    <cfRule type="cellIs" dxfId="209" priority="13" stopIfTrue="1" operator="equal">
      <formula>$R16</formula>
    </cfRule>
  </conditionalFormatting>
  <conditionalFormatting sqref="D12:H12 D99:H99 D228:E228">
    <cfRule type="cellIs" dxfId="208" priority="14" stopIfTrue="1" operator="equal">
      <formula>$Q12</formula>
    </cfRule>
  </conditionalFormatting>
  <conditionalFormatting sqref="B149:L149">
    <cfRule type="cellIs" dxfId="207" priority="17" stopIfTrue="1" operator="equal">
      <formula>$Q$149</formula>
    </cfRule>
  </conditionalFormatting>
  <conditionalFormatting sqref="B17:L17">
    <cfRule type="cellIs" dxfId="206" priority="18" stopIfTrue="1" operator="equal">
      <formula>$Q$17</formula>
    </cfRule>
  </conditionalFormatting>
  <conditionalFormatting sqref="F228:H228">
    <cfRule type="cellIs" dxfId="205" priority="23" stopIfTrue="1" operator="equal">
      <formula>$R$228</formula>
    </cfRule>
  </conditionalFormatting>
  <conditionalFormatting sqref="D206:H206">
    <cfRule type="cellIs" dxfId="204" priority="24" stopIfTrue="1" operator="equal">
      <formula>$Q$206</formula>
    </cfRule>
  </conditionalFormatting>
  <conditionalFormatting sqref="D14:H14">
    <cfRule type="cellIs" dxfId="203" priority="12" stopIfTrue="1" operator="equal">
      <formula>$Q14</formula>
    </cfRule>
  </conditionalFormatting>
  <conditionalFormatting sqref="D42:H42">
    <cfRule type="cellIs" dxfId="202" priority="8" stopIfTrue="1" operator="equal">
      <formula>$Q42</formula>
    </cfRule>
  </conditionalFormatting>
  <conditionalFormatting sqref="B15:L15">
    <cfRule type="cellIs" dxfId="201" priority="7" stopIfTrue="1" operator="equal">
      <formula>$P$15</formula>
    </cfRule>
  </conditionalFormatting>
  <conditionalFormatting sqref="B249:J249">
    <cfRule type="cellIs" dxfId="200" priority="6" stopIfTrue="1" operator="equal">
      <formula>$Q$248</formula>
    </cfRule>
  </conditionalFormatting>
  <conditionalFormatting sqref="B176:F176">
    <cfRule type="cellIs" dxfId="199" priority="2" stopIfTrue="1" operator="equal">
      <formula>$R176</formula>
    </cfRule>
  </conditionalFormatting>
  <conditionalFormatting sqref="B194:F194">
    <cfRule type="cellIs" dxfId="198" priority="3" stopIfTrue="1" operator="equal">
      <formula>$R194</formula>
    </cfRule>
  </conditionalFormatting>
  <conditionalFormatting sqref="D8:H8">
    <cfRule type="cellIs" dxfId="197" priority="1" stopIfTrue="1" operator="equal">
      <formula>O$8</formula>
    </cfRule>
  </conditionalFormatting>
  <dataValidations count="5">
    <dataValidation type="decimal" allowBlank="1" showInputMessage="1" showErrorMessage="1" sqref="L260 D260 H260 J260 F260 L230 L232:L233 D233 F233 F235 L235 D235 J235 H232:H233 L247:L248 D247 L250:L251 F247 J247 H247 D251 H235 J232:J233 N236:N246 F251 F253 L253 D253 J253 H250:H251 H253 J250:J251 F227 D227 H227 J227 L194:L195 D195 F195 F197 L197 D197 J197 H194:H195 H197 J194:J195 N198:N203 H191 J191 F191 L191:L192 D191 L164:L165 D165 F165 F167 L167 D167 J167 H164:H165 H167 J164:J165 N168:N172 N154:N160 L111:L112 D111 L114:L115 F111 J111 H111 D115 F115 F117 L117 D117 J117 H114:H115 H117 J114:J115 N118:N128 L130 L132:L133 D133 F133 F135 L135 D135 J135 H132:H133 H135 J132:J133 N107:N110 J103:J104 H106 H103:H104 J106 D106 L106 F106 F104 D104 L103:L104 L101 D97:D98 H97:H98 J97:J98 F97:F98 L97:L98 J82:J83 H85 H82:H83 J85 D85 L85 F85 F83 D83 L82:L83 L80 N68:N78 J64:J65 H67 H64:H65 J67 D67 L67 F67 F65 N50:N60 J46:J47 H49 D65 H61 J61 F61 L64:L65 D61 L61:L62 H46:H47 J49 D49 L49 F49 F47 D47 L46:L47 L44 N86:N96 D41 H41 J41 F41 N254:N258 L16 H18:H19 D11 H11 J11 F11 L11 D19 L18:L19 H21 J18:J19 J21 D21 L21 F21 N136:N146 J150:J151 H153 H150:H151 J153 D153 L153 F153 F151 D151 L150:L151 L148 F19 J176:J177 H179 H176:H177 J179 D179 L179 F179 F177 D177 L176:L177 L174 N180:N190 H204:H205 D204:D205 L204:L205 F204:F205 J204:J205 N214:N224 J210:J211 H213 H225 J225 F225 D225 L225:L227 H210:H211 J213 D213 L213 F213 F211 D211 L210:L211 L208 N22:N37 F38:F39 J38:J39 H38:H39 D38:D39 L38:L39 L41 L162 L14">
      <formula1>0</formula1>
      <formula2>99999999.99</formula2>
    </dataValidation>
    <dataValidation type="list" allowBlank="1" showInputMessage="1" showErrorMessage="1" sqref="D199:D203 D255:D258 D237:D246 D215:D224 D108:D110 D87:D96 D69:D78 D23:D37 D51:D60 D119:D128 D137:D146 D155:D160 D169:D172 D181:D190">
      <formula1>$D$262:$D$285</formula1>
    </dataValidation>
    <dataValidation type="decimal" operator="greaterThanOrEqual" allowBlank="1" showInputMessage="1" showErrorMessage="1" sqref="H237:H246 H199:H203 J169:J172 H169:H172 J155:J160 H137:H146 H108:H110 J108:J110 H87:H96 J87:J96 H69:H78 J69:J78 H51:H60 J51:J60 J23:J37 H23:H37 J137:J146 H119:H128 H155:H160 J119:J128 H181:H190 J181:J190 H215:H224 J215:J224 J199:J203 J237:J246 H255:H258 J255:J258">
      <formula1>0</formula1>
    </dataValidation>
    <dataValidation type="list" allowBlank="1" showInputMessage="1" showErrorMessage="1" sqref="D14:H14">
      <formula1>$V$14:$V$16</formula1>
    </dataValidation>
    <dataValidation type="whole" allowBlank="1" showInputMessage="1" showErrorMessage="1" sqref="L10">
      <formula1>0</formula1>
      <formula2>3000</formula2>
    </dataValidation>
  </dataValidations>
  <pageMargins left="0.6692913385826772" right="0.15748031496062992" top="0.31496062992125984" bottom="0.31496062992125984" header="0.15748031496062992" footer="0.11811023622047245"/>
  <pageSetup scale="82" fitToHeight="12" orientation="landscape" r:id="rId1"/>
  <headerFooter>
    <oddFooter xml:space="preserve">&amp;C&amp;"Arial,Italic"&amp;A&amp;R&amp;"Arial,Italic"Page &amp;P of &amp;N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1"/>
  <sheetViews>
    <sheetView workbookViewId="0">
      <selection activeCell="B238" sqref="B238"/>
    </sheetView>
  </sheetViews>
  <sheetFormatPr defaultColWidth="9.140625" defaultRowHeight="12.75" x14ac:dyDescent="0.2"/>
  <cols>
    <col min="1" max="1" width="2.85546875" style="80" customWidth="1"/>
    <col min="2" max="2" width="45.7109375" style="44" customWidth="1"/>
    <col min="3" max="3" width="0.42578125" style="70" customWidth="1"/>
    <col min="4" max="4" width="30.7109375" style="44" customWidth="1"/>
    <col min="5" max="5" width="0.42578125" style="70" customWidth="1"/>
    <col min="6" max="6" width="16.42578125" style="44" customWidth="1"/>
    <col min="7" max="7" width="0.42578125" style="70" customWidth="1"/>
    <col min="8" max="8" width="10.7109375" style="44" customWidth="1"/>
    <col min="9" max="9" width="0.42578125" style="70" customWidth="1"/>
    <col min="10" max="10" width="15" style="44" customWidth="1"/>
    <col min="11" max="11" width="0.42578125" style="70" customWidth="1"/>
    <col min="12" max="12" width="13.7109375" style="44" customWidth="1"/>
    <col min="13" max="13" width="0.42578125" style="70" customWidth="1"/>
    <col min="14" max="14" width="9" style="44" customWidth="1"/>
    <col min="15" max="15" width="34.28515625" style="85" hidden="1" customWidth="1"/>
    <col min="16" max="16" width="9.140625" style="79" hidden="1" customWidth="1"/>
    <col min="17" max="17" width="15.42578125" style="79" hidden="1" customWidth="1"/>
    <col min="18" max="22" width="9.140625" style="79" hidden="1" customWidth="1"/>
    <col min="23" max="16384" width="9.140625" style="79"/>
  </cols>
  <sheetData>
    <row r="1" spans="1:29" ht="22.5" customHeight="1" x14ac:dyDescent="0.2">
      <c r="A1" s="738" t="s">
        <v>333</v>
      </c>
      <c r="B1" s="739"/>
      <c r="C1" s="256"/>
      <c r="D1" s="740" t="str">
        <f>CONCATENATE("B3 - ",P5)</f>
        <v>B3 - Županijska uprava za ceste Varaždinske županije</v>
      </c>
      <c r="E1" s="741"/>
      <c r="F1" s="741"/>
      <c r="G1" s="741"/>
      <c r="H1" s="741"/>
      <c r="I1" s="741"/>
      <c r="J1" s="741"/>
      <c r="K1" s="741"/>
      <c r="L1" s="741"/>
      <c r="M1" s="741"/>
      <c r="N1" s="741"/>
      <c r="R1" s="79" t="s">
        <v>167</v>
      </c>
      <c r="S1" s="79" t="s">
        <v>167</v>
      </c>
      <c r="T1" s="79" t="s">
        <v>167</v>
      </c>
    </row>
    <row r="2" spans="1:29" x14ac:dyDescent="0.2">
      <c r="C2" s="44"/>
      <c r="E2" s="44"/>
      <c r="G2" s="44"/>
      <c r="I2" s="44"/>
      <c r="K2" s="44"/>
      <c r="M2" s="44"/>
      <c r="O2" s="44"/>
      <c r="P2" s="44"/>
      <c r="Q2" s="44"/>
      <c r="R2" s="44"/>
      <c r="S2" s="44"/>
      <c r="T2" s="44"/>
      <c r="U2" s="44"/>
      <c r="V2" s="44"/>
      <c r="W2" s="44"/>
      <c r="X2" s="44"/>
      <c r="Y2" s="44"/>
      <c r="Z2" s="44"/>
      <c r="AA2" s="44"/>
      <c r="AB2" s="44"/>
      <c r="AC2" s="44"/>
    </row>
    <row r="3" spans="1:29" x14ac:dyDescent="0.2">
      <c r="B3" s="101" t="s">
        <v>139</v>
      </c>
      <c r="C3" s="44"/>
      <c r="D3" s="712" t="str">
        <f>T('1. General Data'!C14:M14)</f>
        <v>Happy Bike</v>
      </c>
      <c r="E3" s="713"/>
      <c r="F3" s="713"/>
      <c r="G3" s="713"/>
      <c r="H3" s="713"/>
      <c r="I3" s="713"/>
      <c r="J3" s="713"/>
      <c r="K3" s="713"/>
      <c r="L3" s="713"/>
      <c r="M3" s="713"/>
      <c r="N3" s="714"/>
      <c r="O3" s="44"/>
      <c r="P3" s="44"/>
      <c r="Q3" s="44"/>
      <c r="R3" s="44"/>
      <c r="S3" s="44"/>
      <c r="T3" s="44"/>
      <c r="U3" s="44"/>
      <c r="V3" s="44"/>
      <c r="W3" s="44"/>
      <c r="X3" s="44"/>
      <c r="Y3" s="44"/>
      <c r="Z3" s="44"/>
      <c r="AA3" s="44"/>
      <c r="AB3" s="44"/>
      <c r="AC3" s="44"/>
    </row>
    <row r="4" spans="1:29" ht="6" customHeight="1" x14ac:dyDescent="0.2">
      <c r="C4" s="44"/>
      <c r="E4" s="44"/>
      <c r="G4" s="44"/>
      <c r="I4" s="44"/>
      <c r="K4" s="44"/>
      <c r="M4" s="44"/>
      <c r="O4" s="44"/>
      <c r="P4" s="44"/>
      <c r="Q4" s="44"/>
      <c r="R4" s="44"/>
      <c r="S4" s="44"/>
      <c r="T4" s="44"/>
      <c r="U4" s="44"/>
      <c r="V4" s="44"/>
      <c r="W4" s="44"/>
      <c r="X4" s="44"/>
      <c r="Y4" s="44"/>
      <c r="Z4" s="44"/>
      <c r="AA4" s="44"/>
      <c r="AB4" s="44"/>
      <c r="AC4" s="44"/>
    </row>
    <row r="5" spans="1:29" x14ac:dyDescent="0.2">
      <c r="B5" s="101" t="s">
        <v>138</v>
      </c>
      <c r="C5" s="44"/>
      <c r="D5" s="712" t="str">
        <f>T(LEFT('2. LB data'!C5,80))</f>
        <v>Letenye Város Önkormányzata</v>
      </c>
      <c r="E5" s="713"/>
      <c r="F5" s="713"/>
      <c r="G5" s="713"/>
      <c r="H5" s="713"/>
      <c r="I5" s="713"/>
      <c r="J5" s="713"/>
      <c r="K5" s="713"/>
      <c r="L5" s="713"/>
      <c r="M5" s="713"/>
      <c r="N5" s="714"/>
      <c r="O5" s="44"/>
      <c r="P5" s="236" t="str">
        <f>LEFT('2. B3 data'!C5,80)</f>
        <v>Županijska uprava za ceste Varaždinske županije</v>
      </c>
      <c r="Q5" s="44"/>
      <c r="R5" s="44"/>
      <c r="S5" s="44"/>
      <c r="T5" s="44"/>
      <c r="U5" s="44"/>
      <c r="V5" s="44"/>
      <c r="W5" s="44"/>
      <c r="X5" s="44"/>
      <c r="Y5" s="44"/>
      <c r="Z5" s="44"/>
      <c r="AA5" s="44"/>
      <c r="AB5" s="44"/>
      <c r="AC5" s="44"/>
    </row>
    <row r="6" spans="1:29" x14ac:dyDescent="0.2">
      <c r="B6" s="152"/>
      <c r="D6" s="152"/>
      <c r="F6" s="152"/>
      <c r="H6" s="152"/>
      <c r="J6" s="152"/>
      <c r="L6" s="152"/>
    </row>
    <row r="7" spans="1:29" x14ac:dyDescent="0.2">
      <c r="B7" s="152"/>
      <c r="D7" s="152"/>
      <c r="F7" s="152"/>
      <c r="H7" s="152"/>
      <c r="J7" s="152"/>
      <c r="L7" s="152"/>
    </row>
    <row r="8" spans="1:29" ht="28.5" customHeight="1" x14ac:dyDescent="0.2">
      <c r="A8" s="269" t="s">
        <v>30</v>
      </c>
      <c r="B8" s="289" t="s">
        <v>39</v>
      </c>
      <c r="C8" s="281"/>
      <c r="D8" s="767" t="s">
        <v>652</v>
      </c>
      <c r="E8" s="768"/>
      <c r="F8" s="768"/>
      <c r="G8" s="768"/>
      <c r="H8" s="769"/>
      <c r="I8" s="281"/>
      <c r="J8" s="289" t="s">
        <v>18</v>
      </c>
      <c r="K8" s="282"/>
      <c r="L8" s="284">
        <f>L10+L12+L40+L42+L99+L206+L228</f>
        <v>179724.5</v>
      </c>
      <c r="M8" s="283"/>
      <c r="N8" s="290">
        <f>IF(L$8=0,0%,L8/L$8)</f>
        <v>1</v>
      </c>
      <c r="O8" s="85">
        <f>IF(O10&gt;0,D8,0)</f>
        <v>0</v>
      </c>
      <c r="P8" s="231"/>
      <c r="Q8" s="231" t="str">
        <f>IF(AND(Q10=P8,Q17=P8,Q149=P8,Q248=P8)," ",D8)</f>
        <v xml:space="preserve"> </v>
      </c>
    </row>
    <row r="9" spans="1:29" s="76" customFormat="1" ht="3" customHeight="1" x14ac:dyDescent="0.2">
      <c r="A9" s="87"/>
      <c r="B9" s="88"/>
      <c r="C9" s="88"/>
      <c r="D9" s="70"/>
      <c r="E9" s="70"/>
      <c r="F9" s="70"/>
      <c r="G9" s="70"/>
      <c r="H9" s="70"/>
      <c r="I9" s="70"/>
      <c r="J9" s="70"/>
      <c r="K9" s="88"/>
      <c r="L9" s="281"/>
      <c r="M9" s="70"/>
      <c r="N9" s="70"/>
      <c r="O9" s="89"/>
    </row>
    <row r="10" spans="1:29" ht="27" customHeight="1" x14ac:dyDescent="0.2">
      <c r="A10" s="247">
        <v>1</v>
      </c>
      <c r="B10" s="248" t="s">
        <v>60</v>
      </c>
      <c r="C10" s="249"/>
      <c r="D10" s="764" t="s">
        <v>280</v>
      </c>
      <c r="E10" s="765"/>
      <c r="F10" s="765"/>
      <c r="G10" s="765"/>
      <c r="H10" s="766"/>
      <c r="I10" s="250"/>
      <c r="J10" s="251" t="s">
        <v>18</v>
      </c>
      <c r="K10" s="249"/>
      <c r="L10" s="357"/>
      <c r="M10" s="287"/>
      <c r="N10" s="288">
        <f>IF(L10=0,0%,L10/L$8)</f>
        <v>0</v>
      </c>
      <c r="O10" s="497">
        <f>SUM(O11:O260)</f>
        <v>0</v>
      </c>
      <c r="P10" s="231"/>
      <c r="Q10" s="231" t="str">
        <f>IF(N10&gt;P10,D10,"")</f>
        <v/>
      </c>
    </row>
    <row r="11" spans="1:29" x14ac:dyDescent="0.2">
      <c r="B11" s="104"/>
      <c r="C11" s="88"/>
      <c r="D11" s="81"/>
      <c r="F11" s="81"/>
      <c r="H11" s="81"/>
      <c r="J11" s="81"/>
      <c r="K11" s="88"/>
      <c r="L11" s="81"/>
      <c r="N11" s="227"/>
    </row>
    <row r="12" spans="1:29" ht="27" customHeight="1" x14ac:dyDescent="0.2">
      <c r="A12" s="247">
        <v>2</v>
      </c>
      <c r="B12" s="248" t="s">
        <v>285</v>
      </c>
      <c r="C12" s="249"/>
      <c r="D12" s="770" t="str">
        <f>IF(AND(L14&gt;0,L16&gt;0),"Calculation of staff costs should be either on flat rate or on real cost basis (both options cannot be used together)!"," ")</f>
        <v xml:space="preserve"> </v>
      </c>
      <c r="E12" s="771"/>
      <c r="F12" s="771"/>
      <c r="G12" s="771"/>
      <c r="H12" s="772"/>
      <c r="I12" s="250"/>
      <c r="J12" s="251" t="s">
        <v>18</v>
      </c>
      <c r="K12" s="249"/>
      <c r="L12" s="252">
        <f>IF(L14&gt;0,L14,L16)</f>
        <v>3000</v>
      </c>
      <c r="M12" s="250"/>
      <c r="N12" s="253">
        <f>IF(L12=0,0%,L12/L$8)</f>
        <v>1.6692215029114006E-2</v>
      </c>
      <c r="O12" s="495">
        <f>IF(LEN(D12)&gt;1,1,0)</f>
        <v>0</v>
      </c>
      <c r="P12" s="95"/>
    </row>
    <row r="13" spans="1:29" s="76" customFormat="1" ht="7.5" customHeight="1" x14ac:dyDescent="0.2">
      <c r="A13" s="87"/>
      <c r="B13" s="88"/>
      <c r="C13" s="88"/>
      <c r="D13" s="70"/>
      <c r="E13" s="70"/>
      <c r="F13" s="70"/>
      <c r="G13" s="70"/>
      <c r="H13" s="70"/>
      <c r="I13" s="70"/>
      <c r="J13" s="70"/>
      <c r="K13" s="88"/>
      <c r="L13" s="70"/>
      <c r="M13" s="70"/>
      <c r="N13" s="70"/>
      <c r="O13" s="89"/>
      <c r="V13" s="79"/>
    </row>
    <row r="14" spans="1:29" ht="25.5" x14ac:dyDescent="0.2">
      <c r="A14" s="347"/>
      <c r="B14" s="348" t="s">
        <v>313</v>
      </c>
      <c r="C14" s="345"/>
      <c r="D14" s="777" t="s">
        <v>723</v>
      </c>
      <c r="E14" s="778"/>
      <c r="F14" s="778"/>
      <c r="G14" s="778"/>
      <c r="H14" s="779"/>
      <c r="I14" s="346"/>
      <c r="J14" s="349" t="s">
        <v>18</v>
      </c>
      <c r="K14" s="88"/>
      <c r="L14" s="156">
        <f>FLOOR(IF(D14=V15,IF((L228&gt;0),IF((L99+L208+L228)*0.1&gt;P14,P14,(L99+L208+L228)*0.1),IF((L99+L208+L228)*0.2&gt;P14,P14,(L99+L208+L228)*0.2)),0),0.01)</f>
        <v>0</v>
      </c>
      <c r="M14" s="246"/>
      <c r="N14" s="147">
        <f>IF(L14=0,0%,L14/L$8)</f>
        <v>0</v>
      </c>
      <c r="O14" s="353"/>
      <c r="P14" s="356">
        <v>100000</v>
      </c>
      <c r="Q14" s="231" t="str">
        <f>IF(L14&gt;P14,D14,"")</f>
        <v/>
      </c>
      <c r="R14" s="79" t="e">
        <f>IF(AND(R20="NOT",R21="NOT",R22="NOT",R23="NOT",R24="NOT",R25="NOT",S20="NOT",S21="NOT",S22="NOT",S23="NOT",S24="NOT",S25="NOT",T20="NOT",T21="NOT",T22="NOT",T23="NOT",T24="NOT",T25="NOT",#REF!="NOT"),"NOT",D14)</f>
        <v>#REF!</v>
      </c>
      <c r="V14" s="79" t="s">
        <v>282</v>
      </c>
    </row>
    <row r="15" spans="1:29" s="76" customFormat="1" ht="27" customHeight="1" x14ac:dyDescent="0.2">
      <c r="A15" s="87"/>
      <c r="B15" s="780" t="s">
        <v>599</v>
      </c>
      <c r="C15" s="781"/>
      <c r="D15" s="781"/>
      <c r="E15" s="781"/>
      <c r="F15" s="781"/>
      <c r="G15" s="781"/>
      <c r="H15" s="781"/>
      <c r="I15" s="781"/>
      <c r="J15" s="781"/>
      <c r="K15" s="781"/>
      <c r="L15" s="781"/>
      <c r="M15" s="70"/>
      <c r="N15" s="70"/>
      <c r="O15" s="353"/>
      <c r="P15" s="354"/>
      <c r="Q15" s="355"/>
      <c r="V15" s="79" t="s">
        <v>644</v>
      </c>
    </row>
    <row r="16" spans="1:29" ht="25.5" customHeight="1" x14ac:dyDescent="0.2">
      <c r="A16" s="347"/>
      <c r="B16" s="348" t="s">
        <v>281</v>
      </c>
      <c r="C16" s="345"/>
      <c r="D16" s="773" t="s">
        <v>166</v>
      </c>
      <c r="E16" s="774"/>
      <c r="F16" s="774"/>
      <c r="G16" s="774"/>
      <c r="H16" s="775"/>
      <c r="I16" s="346"/>
      <c r="J16" s="349" t="s">
        <v>18</v>
      </c>
      <c r="K16" s="88"/>
      <c r="L16" s="156">
        <f>SUM(L23:L37)</f>
        <v>3000</v>
      </c>
      <c r="M16" s="246"/>
      <c r="N16" s="147">
        <f>IF(L16=0,0%,L16/L$8)</f>
        <v>1.6692215029114006E-2</v>
      </c>
      <c r="O16" s="495">
        <f>IF(LEN(R16)&gt;3,1,0)</f>
        <v>0</v>
      </c>
      <c r="R16" s="494" t="str">
        <f>IF(AND(R22="NOT",S22="NOT",T22="NOT",R18="NOT"),"NOT",D16)</f>
        <v>NOT</v>
      </c>
      <c r="V16" s="79" t="s">
        <v>283</v>
      </c>
    </row>
    <row r="17" spans="1:22" s="76" customFormat="1" ht="15" customHeight="1" x14ac:dyDescent="0.2">
      <c r="A17" s="87"/>
      <c r="B17" s="752"/>
      <c r="C17" s="776"/>
      <c r="D17" s="776"/>
      <c r="E17" s="776"/>
      <c r="F17" s="776"/>
      <c r="G17" s="776"/>
      <c r="H17" s="776"/>
      <c r="I17" s="776"/>
      <c r="J17" s="776"/>
      <c r="K17" s="776"/>
      <c r="L17" s="776"/>
      <c r="M17" s="70"/>
      <c r="N17" s="70"/>
      <c r="O17" s="353"/>
      <c r="P17" s="271"/>
      <c r="Q17" s="231"/>
      <c r="V17" s="79"/>
    </row>
    <row r="18" spans="1:22" x14ac:dyDescent="0.2">
      <c r="B18" s="742" t="s">
        <v>84</v>
      </c>
      <c r="C18" s="743"/>
      <c r="D18" s="743"/>
      <c r="E18" s="743"/>
      <c r="F18" s="743"/>
      <c r="H18" s="81"/>
      <c r="J18" s="81"/>
      <c r="K18" s="88"/>
      <c r="L18" s="81"/>
      <c r="N18" s="227"/>
      <c r="R18" s="494" t="str">
        <f>IF(AND(($L16&gt;0),ISBLANK(B20)),B18,"NOT")</f>
        <v>NOT</v>
      </c>
    </row>
    <row r="19" spans="1:22" ht="3" customHeight="1" x14ac:dyDescent="0.2">
      <c r="B19" s="104"/>
      <c r="C19" s="88"/>
      <c r="D19" s="81"/>
      <c r="F19" s="81"/>
      <c r="H19" s="81"/>
      <c r="J19" s="81"/>
      <c r="K19" s="88"/>
      <c r="L19" s="81"/>
      <c r="N19" s="227"/>
    </row>
    <row r="20" spans="1:22" ht="81" customHeight="1" x14ac:dyDescent="0.2">
      <c r="B20" s="763" t="s">
        <v>992</v>
      </c>
      <c r="C20" s="745"/>
      <c r="D20" s="745"/>
      <c r="E20" s="745"/>
      <c r="F20" s="745"/>
      <c r="G20" s="745"/>
      <c r="H20" s="745"/>
      <c r="I20" s="745"/>
      <c r="J20" s="745"/>
      <c r="K20" s="745"/>
      <c r="L20" s="746"/>
      <c r="M20" s="70" t="s">
        <v>19</v>
      </c>
      <c r="N20" s="227"/>
    </row>
    <row r="21" spans="1:22" ht="3.75" customHeight="1" x14ac:dyDescent="0.2">
      <c r="B21" s="104"/>
      <c r="C21" s="88"/>
      <c r="D21" s="81"/>
      <c r="F21" s="81"/>
      <c r="H21" s="81"/>
      <c r="J21" s="81"/>
      <c r="K21" s="88"/>
      <c r="L21" s="81"/>
      <c r="N21" s="227"/>
    </row>
    <row r="22" spans="1:22" ht="38.25" x14ac:dyDescent="0.2">
      <c r="B22" s="244" t="s">
        <v>201</v>
      </c>
      <c r="C22" s="88"/>
      <c r="D22" s="244" t="s">
        <v>580</v>
      </c>
      <c r="F22" s="244" t="s">
        <v>205</v>
      </c>
      <c r="H22" s="244" t="s">
        <v>16</v>
      </c>
      <c r="J22" s="244" t="s">
        <v>15</v>
      </c>
      <c r="K22" s="245"/>
      <c r="L22" s="103" t="s">
        <v>141</v>
      </c>
      <c r="N22" s="81"/>
      <c r="R22" s="496" t="str">
        <f>IF(AND(R23="NOT",R24="NOT",R25="NOT",R26="NOT",R27="NOT",R28="NOT",R29="NOT",R30="NOT",R31="NOT",R32="NOT",R33="NOT",R34="NOT",R35="NOT",R36="NOT",R37="NOT"),"NOT",1)</f>
        <v>NOT</v>
      </c>
      <c r="S22" s="496" t="str">
        <f>IF(AND(S23="NOT",S24="NOT",S25="NOT",S26="NOT",S27="NOT",S28="NOT",S29="NOT",S30="NOT",S31="NOT",S32="NOT",S33="NOT",S34="NOT",S35="NOT",S36="NOT",S37="NOT"),"NOT",1)</f>
        <v>NOT</v>
      </c>
      <c r="T22" s="496" t="str">
        <f>IF(AND(T23="NOT",T24="NOT",T25="NOT",T26="NOT",T27="NOT",T28="NOT",T29="NOT",T30="NOT",T31="NOT",T32="NOT",T33="NOT",T34="NOT",T35="NOT",T36="NOT",T37="NOT"),"NOT",1)</f>
        <v>NOT</v>
      </c>
    </row>
    <row r="23" spans="1:22" ht="25.5" x14ac:dyDescent="0.2">
      <c r="B23" s="512" t="s">
        <v>993</v>
      </c>
      <c r="C23" s="88"/>
      <c r="D23" s="260" t="s">
        <v>724</v>
      </c>
      <c r="E23" s="243"/>
      <c r="F23" s="261" t="s">
        <v>85</v>
      </c>
      <c r="G23" s="243"/>
      <c r="H23" s="262">
        <v>20</v>
      </c>
      <c r="I23" s="243"/>
      <c r="J23" s="262">
        <v>150</v>
      </c>
      <c r="K23" s="88"/>
      <c r="L23" s="143">
        <f t="shared" ref="L23:L37" si="0">TRUNC(H23*J23,2)</f>
        <v>3000</v>
      </c>
      <c r="N23" s="81"/>
      <c r="R23" s="79" t="str">
        <f t="shared" ref="R23:R37" si="1">IF(AND(($L23&gt;0),ISBLANK(B23)),B23,"NOT")</f>
        <v>NOT</v>
      </c>
      <c r="S23" s="79" t="str">
        <f t="shared" ref="S23:S37" si="2">IF(AND(($L23&gt;0),ISBLANK(D23)),D23,"NOT")</f>
        <v>NOT</v>
      </c>
      <c r="T23" s="79" t="str">
        <f t="shared" ref="T23:T37" si="3">IF(AND(($L23&gt;0),ISBLANK(F23)),F23,"NOT")</f>
        <v>NOT</v>
      </c>
      <c r="V23" s="79" t="str">
        <f>LEFT(D23,3)</f>
        <v xml:space="preserve">1. </v>
      </c>
    </row>
    <row r="24" spans="1:22" x14ac:dyDescent="0.2">
      <c r="B24" s="259"/>
      <c r="C24" s="88"/>
      <c r="D24" s="260"/>
      <c r="E24" s="243"/>
      <c r="F24" s="261" t="s">
        <v>85</v>
      </c>
      <c r="G24" s="243"/>
      <c r="H24" s="262"/>
      <c r="I24" s="243"/>
      <c r="J24" s="262"/>
      <c r="K24" s="88"/>
      <c r="L24" s="143">
        <f t="shared" si="0"/>
        <v>0</v>
      </c>
      <c r="N24" s="81"/>
      <c r="R24" s="79" t="str">
        <f t="shared" si="1"/>
        <v>NOT</v>
      </c>
      <c r="S24" s="79" t="str">
        <f t="shared" si="2"/>
        <v>NOT</v>
      </c>
      <c r="T24" s="79" t="str">
        <f t="shared" si="3"/>
        <v>NOT</v>
      </c>
      <c r="V24" s="79" t="str">
        <f t="shared" ref="V24:V78" si="4">LEFT(D24,3)</f>
        <v/>
      </c>
    </row>
    <row r="25" spans="1:22" x14ac:dyDescent="0.2">
      <c r="B25" s="259"/>
      <c r="C25" s="88"/>
      <c r="D25" s="260"/>
      <c r="E25" s="243"/>
      <c r="F25" s="261" t="s">
        <v>85</v>
      </c>
      <c r="G25" s="243"/>
      <c r="H25" s="262"/>
      <c r="I25" s="243"/>
      <c r="J25" s="262"/>
      <c r="K25" s="88"/>
      <c r="L25" s="143">
        <f t="shared" si="0"/>
        <v>0</v>
      </c>
      <c r="N25" s="81"/>
      <c r="R25" s="79" t="str">
        <f t="shared" si="1"/>
        <v>NOT</v>
      </c>
      <c r="S25" s="79" t="str">
        <f t="shared" si="2"/>
        <v>NOT</v>
      </c>
      <c r="T25" s="79" t="str">
        <f t="shared" si="3"/>
        <v>NOT</v>
      </c>
      <c r="V25" s="79" t="str">
        <f t="shared" si="4"/>
        <v/>
      </c>
    </row>
    <row r="26" spans="1:22" x14ac:dyDescent="0.2">
      <c r="B26" s="259"/>
      <c r="C26" s="88"/>
      <c r="D26" s="260"/>
      <c r="E26" s="243"/>
      <c r="F26" s="261" t="s">
        <v>85</v>
      </c>
      <c r="G26" s="243"/>
      <c r="H26" s="262"/>
      <c r="I26" s="243"/>
      <c r="J26" s="262"/>
      <c r="K26" s="88"/>
      <c r="L26" s="143">
        <f t="shared" si="0"/>
        <v>0</v>
      </c>
      <c r="N26" s="81"/>
      <c r="R26" s="79" t="str">
        <f t="shared" si="1"/>
        <v>NOT</v>
      </c>
      <c r="S26" s="79" t="str">
        <f t="shared" si="2"/>
        <v>NOT</v>
      </c>
      <c r="T26" s="79" t="str">
        <f t="shared" si="3"/>
        <v>NOT</v>
      </c>
      <c r="V26" s="79" t="str">
        <f t="shared" si="4"/>
        <v/>
      </c>
    </row>
    <row r="27" spans="1:22" x14ac:dyDescent="0.2">
      <c r="B27" s="259"/>
      <c r="C27" s="88"/>
      <c r="D27" s="260"/>
      <c r="E27" s="243"/>
      <c r="F27" s="261" t="s">
        <v>85</v>
      </c>
      <c r="G27" s="243"/>
      <c r="H27" s="262"/>
      <c r="I27" s="243"/>
      <c r="J27" s="262"/>
      <c r="K27" s="88"/>
      <c r="L27" s="143">
        <f t="shared" si="0"/>
        <v>0</v>
      </c>
      <c r="N27" s="81"/>
      <c r="R27" s="79" t="str">
        <f t="shared" si="1"/>
        <v>NOT</v>
      </c>
      <c r="S27" s="79" t="str">
        <f t="shared" si="2"/>
        <v>NOT</v>
      </c>
      <c r="T27" s="79" t="str">
        <f t="shared" si="3"/>
        <v>NOT</v>
      </c>
      <c r="V27" s="79" t="str">
        <f t="shared" si="4"/>
        <v/>
      </c>
    </row>
    <row r="28" spans="1:22" x14ac:dyDescent="0.2">
      <c r="B28" s="259"/>
      <c r="C28" s="88"/>
      <c r="D28" s="260"/>
      <c r="E28" s="243"/>
      <c r="F28" s="261" t="s">
        <v>85</v>
      </c>
      <c r="G28" s="243"/>
      <c r="H28" s="262"/>
      <c r="I28" s="243"/>
      <c r="J28" s="262"/>
      <c r="K28" s="88"/>
      <c r="L28" s="143">
        <f t="shared" si="0"/>
        <v>0</v>
      </c>
      <c r="N28" s="81"/>
      <c r="R28" s="79" t="str">
        <f t="shared" si="1"/>
        <v>NOT</v>
      </c>
      <c r="S28" s="79" t="str">
        <f t="shared" si="2"/>
        <v>NOT</v>
      </c>
      <c r="T28" s="79" t="str">
        <f t="shared" si="3"/>
        <v>NOT</v>
      </c>
      <c r="V28" s="79" t="str">
        <f t="shared" si="4"/>
        <v/>
      </c>
    </row>
    <row r="29" spans="1:22" x14ac:dyDescent="0.2">
      <c r="B29" s="259"/>
      <c r="C29" s="88"/>
      <c r="D29" s="260"/>
      <c r="E29" s="243"/>
      <c r="F29" s="261" t="s">
        <v>85</v>
      </c>
      <c r="G29" s="243"/>
      <c r="H29" s="262"/>
      <c r="I29" s="243"/>
      <c r="J29" s="262"/>
      <c r="K29" s="88"/>
      <c r="L29" s="143">
        <f t="shared" si="0"/>
        <v>0</v>
      </c>
      <c r="N29" s="81"/>
      <c r="R29" s="79" t="str">
        <f t="shared" si="1"/>
        <v>NOT</v>
      </c>
      <c r="S29" s="79" t="str">
        <f t="shared" si="2"/>
        <v>NOT</v>
      </c>
      <c r="T29" s="79" t="str">
        <f t="shared" si="3"/>
        <v>NOT</v>
      </c>
      <c r="V29" s="79" t="str">
        <f t="shared" si="4"/>
        <v/>
      </c>
    </row>
    <row r="30" spans="1:22" x14ac:dyDescent="0.2">
      <c r="B30" s="259"/>
      <c r="C30" s="88"/>
      <c r="D30" s="260"/>
      <c r="E30" s="243"/>
      <c r="F30" s="261" t="s">
        <v>85</v>
      </c>
      <c r="G30" s="243"/>
      <c r="H30" s="262"/>
      <c r="I30" s="243"/>
      <c r="J30" s="262"/>
      <c r="K30" s="88"/>
      <c r="L30" s="143">
        <f t="shared" si="0"/>
        <v>0</v>
      </c>
      <c r="N30" s="81"/>
      <c r="R30" s="79" t="str">
        <f t="shared" si="1"/>
        <v>NOT</v>
      </c>
      <c r="S30" s="79" t="str">
        <f t="shared" si="2"/>
        <v>NOT</v>
      </c>
      <c r="T30" s="79" t="str">
        <f t="shared" si="3"/>
        <v>NOT</v>
      </c>
      <c r="V30" s="79" t="str">
        <f t="shared" si="4"/>
        <v/>
      </c>
    </row>
    <row r="31" spans="1:22" x14ac:dyDescent="0.2">
      <c r="B31" s="259"/>
      <c r="C31" s="88"/>
      <c r="D31" s="260"/>
      <c r="E31" s="243"/>
      <c r="F31" s="261" t="s">
        <v>85</v>
      </c>
      <c r="G31" s="243"/>
      <c r="H31" s="262"/>
      <c r="I31" s="243"/>
      <c r="J31" s="262"/>
      <c r="K31" s="88"/>
      <c r="L31" s="143">
        <f t="shared" si="0"/>
        <v>0</v>
      </c>
      <c r="N31" s="81"/>
      <c r="R31" s="79" t="str">
        <f t="shared" si="1"/>
        <v>NOT</v>
      </c>
      <c r="S31" s="79" t="str">
        <f t="shared" si="2"/>
        <v>NOT</v>
      </c>
      <c r="T31" s="79" t="str">
        <f t="shared" si="3"/>
        <v>NOT</v>
      </c>
      <c r="V31" s="79" t="str">
        <f t="shared" si="4"/>
        <v/>
      </c>
    </row>
    <row r="32" spans="1:22" x14ac:dyDescent="0.2">
      <c r="B32" s="259"/>
      <c r="C32" s="88"/>
      <c r="D32" s="260"/>
      <c r="E32" s="243"/>
      <c r="F32" s="261" t="s">
        <v>85</v>
      </c>
      <c r="G32" s="243"/>
      <c r="H32" s="262"/>
      <c r="I32" s="243"/>
      <c r="J32" s="262"/>
      <c r="K32" s="88"/>
      <c r="L32" s="143">
        <f t="shared" si="0"/>
        <v>0</v>
      </c>
      <c r="N32" s="81"/>
      <c r="R32" s="79" t="str">
        <f t="shared" si="1"/>
        <v>NOT</v>
      </c>
      <c r="S32" s="79" t="str">
        <f t="shared" si="2"/>
        <v>NOT</v>
      </c>
      <c r="T32" s="79" t="str">
        <f t="shared" si="3"/>
        <v>NOT</v>
      </c>
      <c r="V32" s="79" t="str">
        <f t="shared" si="4"/>
        <v/>
      </c>
    </row>
    <row r="33" spans="1:22" x14ac:dyDescent="0.2">
      <c r="B33" s="259"/>
      <c r="C33" s="88"/>
      <c r="D33" s="260"/>
      <c r="E33" s="243"/>
      <c r="F33" s="261" t="s">
        <v>85</v>
      </c>
      <c r="G33" s="243"/>
      <c r="H33" s="262"/>
      <c r="I33" s="243"/>
      <c r="J33" s="262"/>
      <c r="K33" s="88"/>
      <c r="L33" s="143">
        <f t="shared" si="0"/>
        <v>0</v>
      </c>
      <c r="N33" s="81"/>
      <c r="R33" s="79" t="str">
        <f t="shared" si="1"/>
        <v>NOT</v>
      </c>
      <c r="S33" s="79" t="str">
        <f t="shared" si="2"/>
        <v>NOT</v>
      </c>
      <c r="T33" s="79" t="str">
        <f t="shared" si="3"/>
        <v>NOT</v>
      </c>
      <c r="V33" s="79" t="str">
        <f t="shared" si="4"/>
        <v/>
      </c>
    </row>
    <row r="34" spans="1:22" x14ac:dyDescent="0.2">
      <c r="B34" s="259"/>
      <c r="C34" s="88"/>
      <c r="D34" s="260"/>
      <c r="E34" s="243"/>
      <c r="F34" s="261" t="s">
        <v>85</v>
      </c>
      <c r="G34" s="243"/>
      <c r="H34" s="262"/>
      <c r="I34" s="243"/>
      <c r="J34" s="262"/>
      <c r="K34" s="88"/>
      <c r="L34" s="143">
        <f t="shared" si="0"/>
        <v>0</v>
      </c>
      <c r="N34" s="81"/>
      <c r="R34" s="79" t="str">
        <f t="shared" si="1"/>
        <v>NOT</v>
      </c>
      <c r="S34" s="79" t="str">
        <f t="shared" si="2"/>
        <v>NOT</v>
      </c>
      <c r="T34" s="79" t="str">
        <f t="shared" si="3"/>
        <v>NOT</v>
      </c>
      <c r="V34" s="79" t="str">
        <f t="shared" si="4"/>
        <v/>
      </c>
    </row>
    <row r="35" spans="1:22" x14ac:dyDescent="0.2">
      <c r="B35" s="259"/>
      <c r="C35" s="88"/>
      <c r="D35" s="260"/>
      <c r="E35" s="243"/>
      <c r="F35" s="261" t="s">
        <v>85</v>
      </c>
      <c r="G35" s="243"/>
      <c r="H35" s="262"/>
      <c r="I35" s="243"/>
      <c r="J35" s="262"/>
      <c r="K35" s="88"/>
      <c r="L35" s="143">
        <f t="shared" si="0"/>
        <v>0</v>
      </c>
      <c r="N35" s="81"/>
      <c r="R35" s="79" t="str">
        <f t="shared" si="1"/>
        <v>NOT</v>
      </c>
      <c r="S35" s="79" t="str">
        <f t="shared" si="2"/>
        <v>NOT</v>
      </c>
      <c r="T35" s="79" t="str">
        <f t="shared" si="3"/>
        <v>NOT</v>
      </c>
      <c r="V35" s="79" t="str">
        <f t="shared" si="4"/>
        <v/>
      </c>
    </row>
    <row r="36" spans="1:22" x14ac:dyDescent="0.2">
      <c r="B36" s="259"/>
      <c r="C36" s="88"/>
      <c r="D36" s="260"/>
      <c r="E36" s="243"/>
      <c r="F36" s="261" t="s">
        <v>85</v>
      </c>
      <c r="G36" s="243"/>
      <c r="H36" s="262"/>
      <c r="I36" s="243"/>
      <c r="J36" s="262"/>
      <c r="K36" s="88"/>
      <c r="L36" s="143">
        <f t="shared" si="0"/>
        <v>0</v>
      </c>
      <c r="N36" s="81"/>
      <c r="R36" s="79" t="str">
        <f t="shared" si="1"/>
        <v>NOT</v>
      </c>
      <c r="S36" s="79" t="str">
        <f t="shared" si="2"/>
        <v>NOT</v>
      </c>
      <c r="T36" s="79" t="str">
        <f t="shared" si="3"/>
        <v>NOT</v>
      </c>
      <c r="V36" s="79" t="str">
        <f t="shared" si="4"/>
        <v/>
      </c>
    </row>
    <row r="37" spans="1:22" x14ac:dyDescent="0.2">
      <c r="B37" s="259"/>
      <c r="C37" s="88"/>
      <c r="D37" s="260"/>
      <c r="E37" s="243"/>
      <c r="F37" s="261" t="s">
        <v>85</v>
      </c>
      <c r="G37" s="243"/>
      <c r="H37" s="262"/>
      <c r="I37" s="243"/>
      <c r="J37" s="262"/>
      <c r="K37" s="88"/>
      <c r="L37" s="143">
        <f t="shared" si="0"/>
        <v>0</v>
      </c>
      <c r="N37" s="81"/>
      <c r="R37" s="79" t="str">
        <f t="shared" si="1"/>
        <v>NOT</v>
      </c>
      <c r="S37" s="79" t="str">
        <f t="shared" si="2"/>
        <v>NOT</v>
      </c>
      <c r="T37" s="79" t="str">
        <f t="shared" si="3"/>
        <v>NOT</v>
      </c>
      <c r="V37" s="79" t="str">
        <f t="shared" si="4"/>
        <v/>
      </c>
    </row>
    <row r="38" spans="1:22" x14ac:dyDescent="0.2">
      <c r="B38" s="104"/>
      <c r="C38" s="88"/>
      <c r="D38" s="81"/>
      <c r="F38" s="81"/>
      <c r="H38" s="81"/>
      <c r="J38" s="81"/>
      <c r="K38" s="88"/>
      <c r="L38" s="81"/>
      <c r="N38" s="227"/>
    </row>
    <row r="39" spans="1:22" x14ac:dyDescent="0.2">
      <c r="B39" s="104"/>
      <c r="C39" s="88"/>
      <c r="D39" s="81"/>
      <c r="F39" s="81"/>
      <c r="H39" s="81"/>
      <c r="J39" s="81"/>
      <c r="K39" s="88"/>
      <c r="L39" s="81"/>
      <c r="N39" s="227"/>
    </row>
    <row r="40" spans="1:22" ht="27" customHeight="1" x14ac:dyDescent="0.2">
      <c r="A40" s="247">
        <v>3</v>
      </c>
      <c r="B40" s="248" t="s">
        <v>284</v>
      </c>
      <c r="C40" s="249"/>
      <c r="D40" s="783" t="s">
        <v>305</v>
      </c>
      <c r="E40" s="765"/>
      <c r="F40" s="765"/>
      <c r="G40" s="765"/>
      <c r="H40" s="766"/>
      <c r="I40" s="250"/>
      <c r="J40" s="251" t="s">
        <v>18</v>
      </c>
      <c r="K40" s="249"/>
      <c r="L40" s="252">
        <f>ROUNDDOWN(L12*0.15,2)</f>
        <v>450</v>
      </c>
      <c r="M40" s="250"/>
      <c r="N40" s="253">
        <f>IF(L40=0,0%,L40/L$8)</f>
        <v>2.5038322543671008E-3</v>
      </c>
      <c r="P40" s="270"/>
      <c r="Q40" s="231" t="str">
        <f>IF(N40&gt;P40,D40,"")</f>
        <v>Calculated as a flat rate of 15% of the staff costs</v>
      </c>
      <c r="R40" s="79" t="str">
        <f>IF(OR(N40&gt;O40,N40&gt;P40),"Overhead costs shall not exceed 5 per cent of each partner’s total eligible budget and shall not exceed 25 per cent of the total staff costs in each partner’s budget!","")</f>
        <v>Overhead costs shall not exceed 5 per cent of each partner’s total eligible budget and shall not exceed 25 per cent of the total staff costs in each partner’s budget!</v>
      </c>
      <c r="S40" s="85"/>
    </row>
    <row r="41" spans="1:22" x14ac:dyDescent="0.2">
      <c r="B41" s="104"/>
      <c r="C41" s="88"/>
      <c r="D41" s="81"/>
      <c r="F41" s="81"/>
      <c r="H41" s="81"/>
      <c r="J41" s="81"/>
      <c r="K41" s="88"/>
      <c r="L41" s="81"/>
      <c r="N41" s="227"/>
    </row>
    <row r="42" spans="1:22" ht="27" customHeight="1" x14ac:dyDescent="0.2">
      <c r="A42" s="247">
        <v>4</v>
      </c>
      <c r="B42" s="248" t="s">
        <v>286</v>
      </c>
      <c r="C42" s="249"/>
      <c r="D42" s="784" t="s">
        <v>563</v>
      </c>
      <c r="E42" s="785"/>
      <c r="F42" s="785"/>
      <c r="G42" s="785"/>
      <c r="H42" s="786"/>
      <c r="I42" s="250"/>
      <c r="J42" s="251" t="s">
        <v>18</v>
      </c>
      <c r="K42" s="249"/>
      <c r="L42" s="252">
        <f>IF(L14&gt;0,0,(L44+L62+L80))</f>
        <v>724.5</v>
      </c>
      <c r="M42" s="250"/>
      <c r="N42" s="253">
        <f>IF(L42=0,0%,L42/L$8)</f>
        <v>4.0311699295310323E-3</v>
      </c>
      <c r="O42" s="495">
        <f>IF(LEN(Q42)&gt;1,1,0)</f>
        <v>0</v>
      </c>
      <c r="P42" s="95"/>
      <c r="Q42" s="79" t="str">
        <f>IF(AND(L14&gt;0,(L44+L62+L80)),D42,"")</f>
        <v/>
      </c>
    </row>
    <row r="43" spans="1:22" s="76" customFormat="1" ht="7.5" customHeight="1" x14ac:dyDescent="0.2">
      <c r="A43" s="87"/>
      <c r="B43" s="88"/>
      <c r="C43" s="88"/>
      <c r="D43" s="70"/>
      <c r="E43" s="70"/>
      <c r="F43" s="70"/>
      <c r="G43" s="70"/>
      <c r="H43" s="70"/>
      <c r="I43" s="70"/>
      <c r="J43" s="70"/>
      <c r="K43" s="88"/>
      <c r="L43" s="70"/>
      <c r="M43" s="70"/>
      <c r="N43" s="70"/>
      <c r="O43" s="89"/>
      <c r="V43" s="79"/>
    </row>
    <row r="44" spans="1:22" ht="13.5" customHeight="1" x14ac:dyDescent="0.2">
      <c r="A44" s="276"/>
      <c r="B44" s="278" t="s">
        <v>287</v>
      </c>
      <c r="C44" s="277"/>
      <c r="D44" s="747" t="s">
        <v>166</v>
      </c>
      <c r="E44" s="748"/>
      <c r="F44" s="748"/>
      <c r="G44" s="748"/>
      <c r="H44" s="748"/>
      <c r="I44" s="279"/>
      <c r="J44" s="280" t="s">
        <v>18</v>
      </c>
      <c r="K44" s="88"/>
      <c r="L44" s="156">
        <f>SUM(L51:L60)</f>
        <v>724.5</v>
      </c>
      <c r="M44" s="246"/>
      <c r="N44" s="147">
        <f>IF(L44=0,0%,L44/L$8)</f>
        <v>4.0311699295310323E-3</v>
      </c>
      <c r="O44" s="495">
        <f>IF(LEN(R44)&gt;3,1,0)</f>
        <v>0</v>
      </c>
      <c r="R44" s="79" t="str">
        <f>IF(AND(R50="NOT",S50="NOT",T50="NOT"),"NOT",D44)</f>
        <v>NOT</v>
      </c>
    </row>
    <row r="45" spans="1:22" s="76" customFormat="1" ht="3" customHeight="1" x14ac:dyDescent="0.2">
      <c r="A45" s="87"/>
      <c r="B45" s="88"/>
      <c r="C45" s="88"/>
      <c r="D45" s="70"/>
      <c r="E45" s="70"/>
      <c r="F45" s="70"/>
      <c r="G45" s="70"/>
      <c r="H45" s="70"/>
      <c r="I45" s="70"/>
      <c r="J45" s="70"/>
      <c r="K45" s="88"/>
      <c r="L45" s="70"/>
      <c r="M45" s="70"/>
      <c r="N45" s="70"/>
      <c r="O45" s="89"/>
      <c r="V45" s="79"/>
    </row>
    <row r="46" spans="1:22" x14ac:dyDescent="0.2">
      <c r="B46" s="742" t="s">
        <v>197</v>
      </c>
      <c r="C46" s="743"/>
      <c r="D46" s="743"/>
      <c r="E46" s="743"/>
      <c r="F46" s="743"/>
      <c r="H46" s="81"/>
      <c r="J46" s="81"/>
      <c r="K46" s="88"/>
      <c r="L46" s="81"/>
      <c r="N46" s="227"/>
      <c r="R46" s="79" t="str">
        <f>IF(AND(($L44&gt;0),ISBLANK(B48)),B46,"NOT")</f>
        <v>NOT</v>
      </c>
    </row>
    <row r="47" spans="1:22" ht="3" customHeight="1" x14ac:dyDescent="0.2">
      <c r="B47" s="104"/>
      <c r="C47" s="88"/>
      <c r="D47" s="81"/>
      <c r="F47" s="81"/>
      <c r="H47" s="81"/>
      <c r="J47" s="81"/>
      <c r="K47" s="88"/>
      <c r="L47" s="81"/>
      <c r="N47" s="227"/>
    </row>
    <row r="48" spans="1:22" ht="50.25" customHeight="1" x14ac:dyDescent="0.2">
      <c r="B48" s="763" t="s">
        <v>863</v>
      </c>
      <c r="C48" s="745"/>
      <c r="D48" s="745"/>
      <c r="E48" s="745"/>
      <c r="F48" s="745"/>
      <c r="G48" s="745"/>
      <c r="H48" s="745"/>
      <c r="I48" s="745"/>
      <c r="J48" s="745"/>
      <c r="K48" s="745"/>
      <c r="L48" s="746"/>
      <c r="M48" s="70" t="s">
        <v>19</v>
      </c>
      <c r="N48" s="227"/>
    </row>
    <row r="49" spans="1:22" ht="3.75" customHeight="1" x14ac:dyDescent="0.2">
      <c r="B49" s="104"/>
      <c r="C49" s="88"/>
      <c r="D49" s="81"/>
      <c r="F49" s="81"/>
      <c r="H49" s="81"/>
      <c r="J49" s="81"/>
      <c r="K49" s="88"/>
      <c r="L49" s="81"/>
      <c r="N49" s="227"/>
    </row>
    <row r="50" spans="1:22" ht="12.75" customHeight="1" x14ac:dyDescent="0.2">
      <c r="B50" s="244" t="s">
        <v>17</v>
      </c>
      <c r="C50" s="88"/>
      <c r="D50" s="244" t="s">
        <v>580</v>
      </c>
      <c r="F50" s="244" t="s">
        <v>205</v>
      </c>
      <c r="H50" s="244" t="s">
        <v>16</v>
      </c>
      <c r="J50" s="244" t="s">
        <v>15</v>
      </c>
      <c r="K50" s="245"/>
      <c r="L50" s="103" t="s">
        <v>141</v>
      </c>
      <c r="N50" s="81"/>
      <c r="R50" s="255" t="str">
        <f>IF(AND(R51="NOT",R52="NOT",R53="NOT",R54="NOT",R55="NOT",R56="NOT",R57="NOT",R58="NOT",R59="NOT",R60="NOT",R46="NOT"),"NOT",D44)</f>
        <v>NOT</v>
      </c>
      <c r="S50" s="255" t="str">
        <f>IF(AND(S51="NOT",S52="NOT",S53="NOT",S54="NOT",S55="NOT",S56="NOT",S57="NOT",S58="NOT",S59="NOT",S60="NOT",R46="NOT"),"NOT",D44)</f>
        <v>NOT</v>
      </c>
      <c r="T50" s="255" t="str">
        <f>IF(AND(T51="NOT",T52="NOT",T53="NOT",T54="NOT",T55="NOT",T56="NOT",T57="NOT",T58="NOT",T59="NOT",T60="NOT",R46="NOT"),"NOT",D44)</f>
        <v>NOT</v>
      </c>
    </row>
    <row r="51" spans="1:22" ht="63.75" x14ac:dyDescent="0.2">
      <c r="B51" s="512" t="s">
        <v>987</v>
      </c>
      <c r="C51" s="88"/>
      <c r="D51" s="260" t="s">
        <v>724</v>
      </c>
      <c r="E51" s="243"/>
      <c r="F51" s="513" t="s">
        <v>789</v>
      </c>
      <c r="G51" s="243"/>
      <c r="H51" s="262">
        <v>420</v>
      </c>
      <c r="I51" s="243"/>
      <c r="J51" s="262">
        <v>1.1499999999999999</v>
      </c>
      <c r="K51" s="88"/>
      <c r="L51" s="143">
        <f t="shared" ref="L51:L60" si="5">TRUNC(H51*J51,2)</f>
        <v>483</v>
      </c>
      <c r="N51" s="81"/>
      <c r="R51" s="79" t="str">
        <f t="shared" ref="R51:R60" si="6">IF(AND(($L51&gt;0),ISBLANK(B51)),B51,"NOT")</f>
        <v>NOT</v>
      </c>
      <c r="S51" s="79" t="str">
        <f t="shared" ref="S51:S60" si="7">IF(AND(($L51&gt;0),ISBLANK(D51)),D51,"NOT")</f>
        <v>NOT</v>
      </c>
      <c r="T51" s="79" t="str">
        <f t="shared" ref="T51:T60" si="8">IF(AND(($L51&gt;0),ISBLANK(F51)),F51,"NOT")</f>
        <v>NOT</v>
      </c>
      <c r="V51" s="79" t="str">
        <f t="shared" si="4"/>
        <v xml:space="preserve">1. </v>
      </c>
    </row>
    <row r="52" spans="1:22" ht="51" x14ac:dyDescent="0.2">
      <c r="B52" s="512" t="s">
        <v>988</v>
      </c>
      <c r="C52" s="88"/>
      <c r="D52" s="514" t="s">
        <v>724</v>
      </c>
      <c r="E52" s="243"/>
      <c r="F52" s="513" t="s">
        <v>789</v>
      </c>
      <c r="G52" s="243"/>
      <c r="H52" s="262">
        <v>210</v>
      </c>
      <c r="I52" s="243"/>
      <c r="J52" s="262">
        <v>1.1499999999999999</v>
      </c>
      <c r="K52" s="88"/>
      <c r="L52" s="143">
        <f t="shared" si="5"/>
        <v>241.5</v>
      </c>
      <c r="N52" s="81"/>
      <c r="R52" s="79" t="str">
        <f t="shared" si="6"/>
        <v>NOT</v>
      </c>
      <c r="S52" s="79" t="str">
        <f t="shared" si="7"/>
        <v>NOT</v>
      </c>
      <c r="T52" s="79" t="str">
        <f t="shared" si="8"/>
        <v>NOT</v>
      </c>
      <c r="V52" s="79" t="str">
        <f t="shared" si="4"/>
        <v xml:space="preserve">1. </v>
      </c>
    </row>
    <row r="53" spans="1:22" x14ac:dyDescent="0.2">
      <c r="B53" s="259"/>
      <c r="C53" s="88"/>
      <c r="D53" s="260"/>
      <c r="E53" s="243"/>
      <c r="F53" s="261"/>
      <c r="G53" s="243"/>
      <c r="H53" s="262"/>
      <c r="I53" s="243"/>
      <c r="J53" s="262"/>
      <c r="K53" s="88"/>
      <c r="L53" s="143">
        <f t="shared" si="5"/>
        <v>0</v>
      </c>
      <c r="N53" s="81"/>
      <c r="R53" s="79" t="str">
        <f t="shared" si="6"/>
        <v>NOT</v>
      </c>
      <c r="S53" s="79" t="str">
        <f t="shared" si="7"/>
        <v>NOT</v>
      </c>
      <c r="T53" s="79" t="str">
        <f t="shared" si="8"/>
        <v>NOT</v>
      </c>
      <c r="V53" s="79" t="str">
        <f t="shared" si="4"/>
        <v/>
      </c>
    </row>
    <row r="54" spans="1:22" x14ac:dyDescent="0.2">
      <c r="B54" s="259"/>
      <c r="C54" s="88"/>
      <c r="D54" s="260"/>
      <c r="E54" s="243"/>
      <c r="F54" s="261"/>
      <c r="G54" s="243"/>
      <c r="H54" s="262"/>
      <c r="I54" s="243"/>
      <c r="J54" s="262"/>
      <c r="K54" s="88"/>
      <c r="L54" s="143">
        <f t="shared" si="5"/>
        <v>0</v>
      </c>
      <c r="N54" s="81"/>
      <c r="R54" s="79" t="str">
        <f t="shared" si="6"/>
        <v>NOT</v>
      </c>
      <c r="S54" s="79" t="str">
        <f t="shared" si="7"/>
        <v>NOT</v>
      </c>
      <c r="T54" s="79" t="str">
        <f t="shared" si="8"/>
        <v>NOT</v>
      </c>
      <c r="V54" s="79" t="str">
        <f t="shared" si="4"/>
        <v/>
      </c>
    </row>
    <row r="55" spans="1:22" x14ac:dyDescent="0.2">
      <c r="B55" s="259"/>
      <c r="C55" s="88"/>
      <c r="D55" s="260"/>
      <c r="E55" s="243"/>
      <c r="F55" s="261"/>
      <c r="G55" s="243"/>
      <c r="H55" s="262"/>
      <c r="I55" s="243"/>
      <c r="J55" s="262"/>
      <c r="K55" s="88"/>
      <c r="L55" s="143">
        <f t="shared" si="5"/>
        <v>0</v>
      </c>
      <c r="N55" s="81"/>
      <c r="R55" s="79" t="str">
        <f t="shared" si="6"/>
        <v>NOT</v>
      </c>
      <c r="S55" s="79" t="str">
        <f t="shared" si="7"/>
        <v>NOT</v>
      </c>
      <c r="T55" s="79" t="str">
        <f t="shared" si="8"/>
        <v>NOT</v>
      </c>
      <c r="V55" s="79" t="str">
        <f t="shared" si="4"/>
        <v/>
      </c>
    </row>
    <row r="56" spans="1:22" x14ac:dyDescent="0.2">
      <c r="B56" s="259"/>
      <c r="C56" s="88"/>
      <c r="D56" s="260"/>
      <c r="E56" s="243"/>
      <c r="F56" s="261"/>
      <c r="G56" s="243"/>
      <c r="H56" s="262"/>
      <c r="I56" s="243"/>
      <c r="J56" s="262"/>
      <c r="K56" s="88"/>
      <c r="L56" s="143">
        <f t="shared" si="5"/>
        <v>0</v>
      </c>
      <c r="N56" s="81"/>
      <c r="R56" s="79" t="str">
        <f t="shared" si="6"/>
        <v>NOT</v>
      </c>
      <c r="S56" s="79" t="str">
        <f t="shared" si="7"/>
        <v>NOT</v>
      </c>
      <c r="T56" s="79" t="str">
        <f t="shared" si="8"/>
        <v>NOT</v>
      </c>
      <c r="V56" s="79" t="str">
        <f t="shared" si="4"/>
        <v/>
      </c>
    </row>
    <row r="57" spans="1:22" x14ac:dyDescent="0.2">
      <c r="B57" s="259"/>
      <c r="C57" s="88"/>
      <c r="D57" s="260"/>
      <c r="E57" s="243"/>
      <c r="F57" s="261"/>
      <c r="G57" s="243"/>
      <c r="H57" s="262"/>
      <c r="I57" s="243"/>
      <c r="J57" s="262"/>
      <c r="K57" s="88"/>
      <c r="L57" s="143">
        <f t="shared" si="5"/>
        <v>0</v>
      </c>
      <c r="N57" s="81"/>
      <c r="R57" s="79" t="str">
        <f t="shared" si="6"/>
        <v>NOT</v>
      </c>
      <c r="S57" s="79" t="str">
        <f t="shared" si="7"/>
        <v>NOT</v>
      </c>
      <c r="T57" s="79" t="str">
        <f t="shared" si="8"/>
        <v>NOT</v>
      </c>
      <c r="V57" s="79" t="str">
        <f t="shared" si="4"/>
        <v/>
      </c>
    </row>
    <row r="58" spans="1:22" x14ac:dyDescent="0.2">
      <c r="B58" s="259"/>
      <c r="C58" s="88"/>
      <c r="D58" s="260"/>
      <c r="E58" s="243"/>
      <c r="F58" s="261"/>
      <c r="G58" s="243"/>
      <c r="H58" s="262"/>
      <c r="I58" s="243"/>
      <c r="J58" s="262"/>
      <c r="K58" s="88"/>
      <c r="L58" s="143">
        <f t="shared" si="5"/>
        <v>0</v>
      </c>
      <c r="N58" s="81"/>
      <c r="R58" s="79" t="str">
        <f t="shared" si="6"/>
        <v>NOT</v>
      </c>
      <c r="S58" s="79" t="str">
        <f t="shared" si="7"/>
        <v>NOT</v>
      </c>
      <c r="T58" s="79" t="str">
        <f t="shared" si="8"/>
        <v>NOT</v>
      </c>
      <c r="V58" s="79" t="str">
        <f t="shared" si="4"/>
        <v/>
      </c>
    </row>
    <row r="59" spans="1:22" x14ac:dyDescent="0.2">
      <c r="B59" s="259"/>
      <c r="C59" s="88"/>
      <c r="D59" s="260"/>
      <c r="E59" s="243"/>
      <c r="F59" s="261"/>
      <c r="G59" s="243"/>
      <c r="H59" s="262"/>
      <c r="I59" s="243"/>
      <c r="J59" s="262"/>
      <c r="K59" s="88"/>
      <c r="L59" s="143">
        <f t="shared" si="5"/>
        <v>0</v>
      </c>
      <c r="N59" s="81"/>
      <c r="R59" s="79" t="str">
        <f t="shared" si="6"/>
        <v>NOT</v>
      </c>
      <c r="S59" s="79" t="str">
        <f t="shared" si="7"/>
        <v>NOT</v>
      </c>
      <c r="T59" s="79" t="str">
        <f t="shared" si="8"/>
        <v>NOT</v>
      </c>
      <c r="V59" s="79" t="str">
        <f t="shared" si="4"/>
        <v/>
      </c>
    </row>
    <row r="60" spans="1:22" x14ac:dyDescent="0.2">
      <c r="B60" s="259"/>
      <c r="C60" s="88"/>
      <c r="D60" s="260"/>
      <c r="E60" s="243"/>
      <c r="F60" s="261"/>
      <c r="G60" s="243"/>
      <c r="H60" s="262"/>
      <c r="I60" s="243"/>
      <c r="J60" s="262"/>
      <c r="K60" s="88"/>
      <c r="L60" s="143">
        <f t="shared" si="5"/>
        <v>0</v>
      </c>
      <c r="N60" s="81"/>
      <c r="R60" s="79" t="str">
        <f t="shared" si="6"/>
        <v>NOT</v>
      </c>
      <c r="S60" s="79" t="str">
        <f t="shared" si="7"/>
        <v>NOT</v>
      </c>
      <c r="T60" s="79" t="str">
        <f t="shared" si="8"/>
        <v>NOT</v>
      </c>
      <c r="V60" s="79" t="str">
        <f t="shared" si="4"/>
        <v/>
      </c>
    </row>
    <row r="61" spans="1:22" x14ac:dyDescent="0.2">
      <c r="B61" s="104"/>
      <c r="C61" s="88"/>
      <c r="D61" s="81"/>
      <c r="F61" s="81"/>
      <c r="H61" s="81"/>
      <c r="J61" s="81"/>
      <c r="K61" s="88"/>
      <c r="L61" s="81"/>
      <c r="N61" s="227"/>
    </row>
    <row r="62" spans="1:22" ht="13.5" customHeight="1" x14ac:dyDescent="0.2">
      <c r="A62" s="276"/>
      <c r="B62" s="278" t="s">
        <v>288</v>
      </c>
      <c r="C62" s="277"/>
      <c r="D62" s="747" t="s">
        <v>166</v>
      </c>
      <c r="E62" s="748"/>
      <c r="F62" s="748"/>
      <c r="G62" s="748"/>
      <c r="H62" s="748"/>
      <c r="I62" s="279"/>
      <c r="J62" s="280" t="s">
        <v>18</v>
      </c>
      <c r="K62" s="88"/>
      <c r="L62" s="156">
        <f>SUM(L69:L78)</f>
        <v>0</v>
      </c>
      <c r="M62" s="246"/>
      <c r="N62" s="147">
        <f>IF(L62=0,0%,L62/L$8)</f>
        <v>0</v>
      </c>
      <c r="O62" s="495">
        <f>IF(LEN(R62)&gt;3,1,0)</f>
        <v>0</v>
      </c>
      <c r="R62" s="79" t="str">
        <f>IF(AND(R68="NOT",S68="NOT",T68="NOT"),"NOT",D62)</f>
        <v>NOT</v>
      </c>
    </row>
    <row r="63" spans="1:22" s="76" customFormat="1" ht="3" customHeight="1" x14ac:dyDescent="0.2">
      <c r="A63" s="87"/>
      <c r="B63" s="88"/>
      <c r="C63" s="88"/>
      <c r="D63" s="70"/>
      <c r="E63" s="70"/>
      <c r="F63" s="70"/>
      <c r="G63" s="70"/>
      <c r="H63" s="70"/>
      <c r="I63" s="70"/>
      <c r="J63" s="70"/>
      <c r="K63" s="88"/>
      <c r="L63" s="70"/>
      <c r="M63" s="70"/>
      <c r="N63" s="70"/>
      <c r="O63" s="89"/>
      <c r="V63" s="79"/>
    </row>
    <row r="64" spans="1:22" x14ac:dyDescent="0.2">
      <c r="B64" s="742" t="s">
        <v>197</v>
      </c>
      <c r="C64" s="743"/>
      <c r="D64" s="743"/>
      <c r="E64" s="743"/>
      <c r="F64" s="743"/>
      <c r="H64" s="81"/>
      <c r="J64" s="81"/>
      <c r="K64" s="88"/>
      <c r="L64" s="81"/>
      <c r="N64" s="227"/>
      <c r="R64" s="79" t="str">
        <f>IF(AND(($L62&gt;0),ISBLANK(B66)),B64,"NOT")</f>
        <v>NOT</v>
      </c>
    </row>
    <row r="65" spans="1:22" ht="3" customHeight="1" x14ac:dyDescent="0.2">
      <c r="B65" s="104"/>
      <c r="C65" s="88"/>
      <c r="D65" s="81"/>
      <c r="F65" s="81"/>
      <c r="H65" s="81"/>
      <c r="J65" s="81"/>
      <c r="K65" s="88"/>
      <c r="L65" s="81"/>
      <c r="N65" s="227"/>
    </row>
    <row r="66" spans="1:22" ht="50.25" customHeight="1" x14ac:dyDescent="0.2">
      <c r="B66" s="744"/>
      <c r="C66" s="745"/>
      <c r="D66" s="745"/>
      <c r="E66" s="745"/>
      <c r="F66" s="745"/>
      <c r="G66" s="745"/>
      <c r="H66" s="745"/>
      <c r="I66" s="745"/>
      <c r="J66" s="745"/>
      <c r="K66" s="745"/>
      <c r="L66" s="746"/>
      <c r="M66" s="70" t="s">
        <v>19</v>
      </c>
      <c r="N66" s="227"/>
    </row>
    <row r="67" spans="1:22" ht="3.75" customHeight="1" x14ac:dyDescent="0.2">
      <c r="B67" s="104"/>
      <c r="C67" s="88"/>
      <c r="D67" s="81"/>
      <c r="F67" s="81"/>
      <c r="H67" s="81"/>
      <c r="J67" s="81"/>
      <c r="K67" s="88"/>
      <c r="L67" s="81"/>
      <c r="N67" s="227"/>
    </row>
    <row r="68" spans="1:22" ht="12.75" customHeight="1" x14ac:dyDescent="0.2">
      <c r="B68" s="244" t="s">
        <v>17</v>
      </c>
      <c r="C68" s="88"/>
      <c r="D68" s="244" t="s">
        <v>580</v>
      </c>
      <c r="F68" s="244" t="s">
        <v>205</v>
      </c>
      <c r="H68" s="244" t="s">
        <v>16</v>
      </c>
      <c r="J68" s="244" t="s">
        <v>15</v>
      </c>
      <c r="K68" s="245"/>
      <c r="L68" s="103" t="s">
        <v>141</v>
      </c>
      <c r="N68" s="81"/>
      <c r="R68" s="255" t="str">
        <f>IF(AND(R69="NOT",R70="NOT",R71="NOT",R72="NOT",R73="NOT",R74="NOT",R75="NOT",R76="NOT",R77="NOT",R78="NOT",R64="NOT"),"NOT",D62)</f>
        <v>NOT</v>
      </c>
      <c r="S68" s="255" t="str">
        <f>IF(AND(S69="NOT",S70="NOT",S71="NOT",S72="NOT",S73="NOT",S74="NOT",S75="NOT",S76="NOT",S77="NOT",S78="NOT",R64="NOT"),"NOT",D62)</f>
        <v>NOT</v>
      </c>
      <c r="T68" s="255" t="str">
        <f>IF(AND(T69="NOT",T70="NOT",T71="NOT",T72="NOT",T73="NOT",T74="NOT",T75="NOT",T76="NOT",T77="NOT",T78="NOT",R64="NOT"),"NOT",D62)</f>
        <v>NOT</v>
      </c>
    </row>
    <row r="69" spans="1:22" x14ac:dyDescent="0.2">
      <c r="B69" s="259"/>
      <c r="C69" s="88"/>
      <c r="D69" s="260"/>
      <c r="E69" s="243"/>
      <c r="F69" s="261"/>
      <c r="G69" s="243"/>
      <c r="H69" s="262"/>
      <c r="I69" s="243"/>
      <c r="J69" s="262"/>
      <c r="K69" s="88"/>
      <c r="L69" s="143">
        <f t="shared" ref="L69:L78" si="9">TRUNC(H69*J69,2)</f>
        <v>0</v>
      </c>
      <c r="N69" s="81"/>
      <c r="R69" s="79" t="str">
        <f t="shared" ref="R69:R78" si="10">IF(AND(($L69&gt;0),ISBLANK(B69)),B69,"NOT")</f>
        <v>NOT</v>
      </c>
      <c r="S69" s="79" t="str">
        <f t="shared" ref="S69:S78" si="11">IF(AND(($L69&gt;0),ISBLANK(D69)),D69,"NOT")</f>
        <v>NOT</v>
      </c>
      <c r="T69" s="79" t="str">
        <f t="shared" ref="T69:T78" si="12">IF(AND(($L69&gt;0),ISBLANK(F69)),F69,"NOT")</f>
        <v>NOT</v>
      </c>
      <c r="V69" s="79" t="str">
        <f t="shared" si="4"/>
        <v/>
      </c>
    </row>
    <row r="70" spans="1:22" x14ac:dyDescent="0.2">
      <c r="B70" s="259"/>
      <c r="C70" s="88"/>
      <c r="D70" s="260"/>
      <c r="E70" s="243"/>
      <c r="F70" s="261"/>
      <c r="G70" s="243"/>
      <c r="H70" s="262"/>
      <c r="I70" s="243"/>
      <c r="J70" s="262"/>
      <c r="K70" s="88"/>
      <c r="L70" s="143">
        <f t="shared" si="9"/>
        <v>0</v>
      </c>
      <c r="N70" s="81"/>
      <c r="R70" s="79" t="str">
        <f t="shared" si="10"/>
        <v>NOT</v>
      </c>
      <c r="S70" s="79" t="str">
        <f t="shared" si="11"/>
        <v>NOT</v>
      </c>
      <c r="T70" s="79" t="str">
        <f t="shared" si="12"/>
        <v>NOT</v>
      </c>
      <c r="V70" s="79" t="str">
        <f t="shared" si="4"/>
        <v/>
      </c>
    </row>
    <row r="71" spans="1:22" x14ac:dyDescent="0.2">
      <c r="B71" s="259"/>
      <c r="C71" s="88"/>
      <c r="D71" s="260"/>
      <c r="E71" s="243"/>
      <c r="F71" s="261"/>
      <c r="G71" s="243"/>
      <c r="H71" s="262"/>
      <c r="I71" s="243"/>
      <c r="J71" s="262"/>
      <c r="K71" s="88"/>
      <c r="L71" s="143">
        <f t="shared" si="9"/>
        <v>0</v>
      </c>
      <c r="N71" s="81"/>
      <c r="R71" s="79" t="str">
        <f t="shared" si="10"/>
        <v>NOT</v>
      </c>
      <c r="S71" s="79" t="str">
        <f t="shared" si="11"/>
        <v>NOT</v>
      </c>
      <c r="T71" s="79" t="str">
        <f t="shared" si="12"/>
        <v>NOT</v>
      </c>
      <c r="V71" s="79" t="str">
        <f t="shared" si="4"/>
        <v/>
      </c>
    </row>
    <row r="72" spans="1:22" x14ac:dyDescent="0.2">
      <c r="B72" s="259"/>
      <c r="C72" s="88"/>
      <c r="D72" s="260"/>
      <c r="E72" s="243"/>
      <c r="F72" s="261"/>
      <c r="G72" s="243"/>
      <c r="H72" s="262"/>
      <c r="I72" s="243"/>
      <c r="J72" s="262"/>
      <c r="K72" s="88"/>
      <c r="L72" s="143">
        <f t="shared" si="9"/>
        <v>0</v>
      </c>
      <c r="N72" s="81"/>
      <c r="R72" s="79" t="str">
        <f t="shared" si="10"/>
        <v>NOT</v>
      </c>
      <c r="S72" s="79" t="str">
        <f t="shared" si="11"/>
        <v>NOT</v>
      </c>
      <c r="T72" s="79" t="str">
        <f t="shared" si="12"/>
        <v>NOT</v>
      </c>
      <c r="V72" s="79" t="str">
        <f t="shared" si="4"/>
        <v/>
      </c>
    </row>
    <row r="73" spans="1:22" x14ac:dyDescent="0.2">
      <c r="B73" s="259"/>
      <c r="C73" s="88"/>
      <c r="D73" s="260"/>
      <c r="E73" s="243"/>
      <c r="F73" s="261"/>
      <c r="G73" s="243"/>
      <c r="H73" s="262"/>
      <c r="I73" s="243"/>
      <c r="J73" s="262"/>
      <c r="K73" s="88"/>
      <c r="L73" s="143">
        <f t="shared" si="9"/>
        <v>0</v>
      </c>
      <c r="N73" s="81"/>
      <c r="R73" s="79" t="str">
        <f t="shared" si="10"/>
        <v>NOT</v>
      </c>
      <c r="S73" s="79" t="str">
        <f t="shared" si="11"/>
        <v>NOT</v>
      </c>
      <c r="T73" s="79" t="str">
        <f t="shared" si="12"/>
        <v>NOT</v>
      </c>
      <c r="V73" s="79" t="str">
        <f t="shared" si="4"/>
        <v/>
      </c>
    </row>
    <row r="74" spans="1:22" x14ac:dyDescent="0.2">
      <c r="B74" s="259"/>
      <c r="C74" s="88"/>
      <c r="D74" s="260"/>
      <c r="E74" s="243"/>
      <c r="F74" s="261"/>
      <c r="G74" s="243"/>
      <c r="H74" s="262"/>
      <c r="I74" s="243"/>
      <c r="J74" s="262"/>
      <c r="K74" s="88"/>
      <c r="L74" s="143">
        <f t="shared" si="9"/>
        <v>0</v>
      </c>
      <c r="N74" s="81"/>
      <c r="R74" s="79" t="str">
        <f t="shared" si="10"/>
        <v>NOT</v>
      </c>
      <c r="S74" s="79" t="str">
        <f t="shared" si="11"/>
        <v>NOT</v>
      </c>
      <c r="T74" s="79" t="str">
        <f t="shared" si="12"/>
        <v>NOT</v>
      </c>
      <c r="V74" s="79" t="str">
        <f t="shared" si="4"/>
        <v/>
      </c>
    </row>
    <row r="75" spans="1:22" x14ac:dyDescent="0.2">
      <c r="B75" s="259"/>
      <c r="C75" s="88"/>
      <c r="D75" s="260"/>
      <c r="E75" s="243"/>
      <c r="F75" s="261"/>
      <c r="G75" s="243"/>
      <c r="H75" s="262"/>
      <c r="I75" s="243"/>
      <c r="J75" s="262"/>
      <c r="K75" s="88"/>
      <c r="L75" s="143">
        <f t="shared" si="9"/>
        <v>0</v>
      </c>
      <c r="N75" s="81"/>
      <c r="R75" s="79" t="str">
        <f t="shared" si="10"/>
        <v>NOT</v>
      </c>
      <c r="S75" s="79" t="str">
        <f t="shared" si="11"/>
        <v>NOT</v>
      </c>
      <c r="T75" s="79" t="str">
        <f t="shared" si="12"/>
        <v>NOT</v>
      </c>
      <c r="V75" s="79" t="str">
        <f t="shared" si="4"/>
        <v/>
      </c>
    </row>
    <row r="76" spans="1:22" x14ac:dyDescent="0.2">
      <c r="B76" s="259"/>
      <c r="C76" s="88"/>
      <c r="D76" s="260"/>
      <c r="E76" s="243"/>
      <c r="F76" s="261"/>
      <c r="G76" s="243"/>
      <c r="H76" s="262"/>
      <c r="I76" s="243"/>
      <c r="J76" s="262"/>
      <c r="K76" s="88"/>
      <c r="L76" s="143">
        <f t="shared" si="9"/>
        <v>0</v>
      </c>
      <c r="N76" s="81"/>
      <c r="R76" s="79" t="str">
        <f t="shared" si="10"/>
        <v>NOT</v>
      </c>
      <c r="S76" s="79" t="str">
        <f t="shared" si="11"/>
        <v>NOT</v>
      </c>
      <c r="T76" s="79" t="str">
        <f t="shared" si="12"/>
        <v>NOT</v>
      </c>
      <c r="V76" s="79" t="str">
        <f t="shared" si="4"/>
        <v/>
      </c>
    </row>
    <row r="77" spans="1:22" x14ac:dyDescent="0.2">
      <c r="B77" s="259"/>
      <c r="C77" s="88"/>
      <c r="D77" s="260"/>
      <c r="E77" s="243"/>
      <c r="F77" s="261"/>
      <c r="G77" s="243"/>
      <c r="H77" s="262"/>
      <c r="I77" s="243"/>
      <c r="J77" s="262"/>
      <c r="K77" s="88"/>
      <c r="L77" s="143">
        <f t="shared" si="9"/>
        <v>0</v>
      </c>
      <c r="N77" s="81"/>
      <c r="R77" s="79" t="str">
        <f t="shared" si="10"/>
        <v>NOT</v>
      </c>
      <c r="S77" s="79" t="str">
        <f t="shared" si="11"/>
        <v>NOT</v>
      </c>
      <c r="T77" s="79" t="str">
        <f t="shared" si="12"/>
        <v>NOT</v>
      </c>
      <c r="V77" s="79" t="str">
        <f t="shared" si="4"/>
        <v/>
      </c>
    </row>
    <row r="78" spans="1:22" x14ac:dyDescent="0.2">
      <c r="B78" s="259"/>
      <c r="C78" s="88"/>
      <c r="D78" s="260"/>
      <c r="E78" s="243"/>
      <c r="F78" s="261"/>
      <c r="G78" s="243"/>
      <c r="H78" s="262"/>
      <c r="I78" s="243"/>
      <c r="J78" s="262"/>
      <c r="K78" s="88"/>
      <c r="L78" s="143">
        <f t="shared" si="9"/>
        <v>0</v>
      </c>
      <c r="N78" s="81"/>
      <c r="R78" s="79" t="str">
        <f t="shared" si="10"/>
        <v>NOT</v>
      </c>
      <c r="S78" s="79" t="str">
        <f t="shared" si="11"/>
        <v>NOT</v>
      </c>
      <c r="T78" s="79" t="str">
        <f t="shared" si="12"/>
        <v>NOT</v>
      </c>
      <c r="V78" s="79" t="str">
        <f t="shared" si="4"/>
        <v/>
      </c>
    </row>
    <row r="79" spans="1:22" s="76" customFormat="1" ht="12.75" customHeight="1" x14ac:dyDescent="0.2">
      <c r="A79" s="87"/>
      <c r="B79" s="88"/>
      <c r="C79" s="88"/>
      <c r="D79" s="70"/>
      <c r="E79" s="70"/>
      <c r="F79" s="70"/>
      <c r="G79" s="70"/>
      <c r="H79" s="70"/>
      <c r="I79" s="70"/>
      <c r="J79" s="70"/>
      <c r="K79" s="88"/>
      <c r="L79" s="70"/>
      <c r="M79" s="70"/>
      <c r="N79" s="70"/>
      <c r="O79" s="89"/>
      <c r="V79" s="79"/>
    </row>
    <row r="80" spans="1:22" ht="13.5" customHeight="1" x14ac:dyDescent="0.2">
      <c r="A80" s="276"/>
      <c r="B80" s="278" t="s">
        <v>289</v>
      </c>
      <c r="C80" s="277"/>
      <c r="D80" s="747" t="s">
        <v>166</v>
      </c>
      <c r="E80" s="748"/>
      <c r="F80" s="748"/>
      <c r="G80" s="748"/>
      <c r="H80" s="748"/>
      <c r="I80" s="279"/>
      <c r="J80" s="280" t="s">
        <v>18</v>
      </c>
      <c r="K80" s="88"/>
      <c r="L80" s="156">
        <f>SUM(L87:L96)</f>
        <v>0</v>
      </c>
      <c r="M80" s="246"/>
      <c r="N80" s="147">
        <f>IF(L80=0,0%,L80/L$8)</f>
        <v>0</v>
      </c>
      <c r="O80" s="495">
        <f>IF(LEN(R80)&gt;3,1,0)</f>
        <v>0</v>
      </c>
      <c r="R80" s="79" t="str">
        <f>IF(AND(R86="NOT",S86="NOT",T86="NOT"),"NOT",D80)</f>
        <v>NOT</v>
      </c>
    </row>
    <row r="81" spans="1:22" s="76" customFormat="1" ht="3" customHeight="1" x14ac:dyDescent="0.2">
      <c r="A81" s="87"/>
      <c r="B81" s="88"/>
      <c r="C81" s="88"/>
      <c r="D81" s="70"/>
      <c r="E81" s="70"/>
      <c r="F81" s="70"/>
      <c r="G81" s="70"/>
      <c r="H81" s="70"/>
      <c r="I81" s="70"/>
      <c r="J81" s="70"/>
      <c r="K81" s="88"/>
      <c r="L81" s="70"/>
      <c r="M81" s="70"/>
      <c r="N81" s="70"/>
      <c r="O81" s="89"/>
      <c r="V81" s="79"/>
    </row>
    <row r="82" spans="1:22" x14ac:dyDescent="0.2">
      <c r="B82" s="742" t="s">
        <v>197</v>
      </c>
      <c r="C82" s="743"/>
      <c r="D82" s="743"/>
      <c r="E82" s="743"/>
      <c r="F82" s="743"/>
      <c r="H82" s="81"/>
      <c r="J82" s="81"/>
      <c r="K82" s="88"/>
      <c r="L82" s="81"/>
      <c r="N82" s="227"/>
      <c r="R82" s="79" t="str">
        <f>IF(AND(($L80&gt;0),ISBLANK(B84)),B82,"NOT")</f>
        <v>NOT</v>
      </c>
    </row>
    <row r="83" spans="1:22" ht="3" customHeight="1" x14ac:dyDescent="0.2">
      <c r="B83" s="104"/>
      <c r="C83" s="88"/>
      <c r="D83" s="81"/>
      <c r="F83" s="81"/>
      <c r="H83" s="81"/>
      <c r="J83" s="81"/>
      <c r="K83" s="88"/>
      <c r="L83" s="81"/>
      <c r="N83" s="227"/>
    </row>
    <row r="84" spans="1:22" ht="50.25" customHeight="1" x14ac:dyDescent="0.2">
      <c r="B84" s="744"/>
      <c r="C84" s="745"/>
      <c r="D84" s="745"/>
      <c r="E84" s="745"/>
      <c r="F84" s="745"/>
      <c r="G84" s="745"/>
      <c r="H84" s="745"/>
      <c r="I84" s="745"/>
      <c r="J84" s="745"/>
      <c r="K84" s="745"/>
      <c r="L84" s="746"/>
      <c r="M84" s="70" t="s">
        <v>19</v>
      </c>
      <c r="N84" s="227"/>
    </row>
    <row r="85" spans="1:22" ht="3.75" customHeight="1" x14ac:dyDescent="0.2">
      <c r="B85" s="104"/>
      <c r="C85" s="88"/>
      <c r="D85" s="81"/>
      <c r="F85" s="81"/>
      <c r="H85" s="81"/>
      <c r="J85" s="81"/>
      <c r="K85" s="88"/>
      <c r="L85" s="81"/>
      <c r="N85" s="227"/>
    </row>
    <row r="86" spans="1:22" ht="12.75" customHeight="1" x14ac:dyDescent="0.2">
      <c r="B86" s="244" t="s">
        <v>17</v>
      </c>
      <c r="C86" s="88"/>
      <c r="D86" s="244" t="s">
        <v>580</v>
      </c>
      <c r="F86" s="244" t="s">
        <v>205</v>
      </c>
      <c r="H86" s="244" t="s">
        <v>16</v>
      </c>
      <c r="J86" s="244" t="s">
        <v>15</v>
      </c>
      <c r="K86" s="245"/>
      <c r="L86" s="103" t="s">
        <v>141</v>
      </c>
      <c r="N86" s="81"/>
      <c r="R86" s="255" t="str">
        <f>IF(AND(R87="NOT",R88="NOT",R89="NOT",R90="NOT",R91="NOT",R92="NOT",R93="NOT",R94="NOT",R95="NOT",R96="NOT",R82="NOT"),"NOT",D80)</f>
        <v>NOT</v>
      </c>
      <c r="S86" s="255" t="str">
        <f>IF(AND(S87="NOT",S88="NOT",S89="NOT",S90="NOT",S91="NOT",S92="NOT",S93="NOT",S94="NOT",S95="NOT",S96="NOT",R82="NOT"),"NOT",D80)</f>
        <v>NOT</v>
      </c>
      <c r="T86" s="255" t="str">
        <f>IF(AND(T87="NOT",T88="NOT",T89="NOT",T90="NOT",T91="NOT",T92="NOT",T93="NOT",T94="NOT",T95="NOT",T96="NOT",R82="NOT"),"NOT",D80)</f>
        <v>NOT</v>
      </c>
    </row>
    <row r="87" spans="1:22" x14ac:dyDescent="0.2">
      <c r="B87" s="259"/>
      <c r="C87" s="88"/>
      <c r="D87" s="260"/>
      <c r="E87" s="243"/>
      <c r="F87" s="261"/>
      <c r="G87" s="243"/>
      <c r="H87" s="262"/>
      <c r="I87" s="243"/>
      <c r="J87" s="262"/>
      <c r="K87" s="88"/>
      <c r="L87" s="143">
        <f t="shared" ref="L87:L96" si="13">TRUNC(H87*J87,2)</f>
        <v>0</v>
      </c>
      <c r="N87" s="81"/>
      <c r="R87" s="79" t="str">
        <f t="shared" ref="R87:R96" si="14">IF(AND(($L87&gt;0),ISBLANK(B87)),B87,"NOT")</f>
        <v>NOT</v>
      </c>
      <c r="S87" s="79" t="str">
        <f t="shared" ref="S87:S96" si="15">IF(AND(($L87&gt;0),ISBLANK(D87)),D87,"NOT")</f>
        <v>NOT</v>
      </c>
      <c r="T87" s="79" t="str">
        <f t="shared" ref="T87:T96" si="16">IF(AND(($L87&gt;0),ISBLANK(F87)),F87,"NOT")</f>
        <v>NOT</v>
      </c>
      <c r="V87" s="79" t="str">
        <f t="shared" ref="V87:V96" si="17">LEFT(D87,3)</f>
        <v/>
      </c>
    </row>
    <row r="88" spans="1:22" x14ac:dyDescent="0.2">
      <c r="B88" s="259"/>
      <c r="C88" s="88"/>
      <c r="D88" s="260"/>
      <c r="E88" s="243"/>
      <c r="F88" s="261"/>
      <c r="G88" s="243"/>
      <c r="H88" s="262"/>
      <c r="I88" s="243"/>
      <c r="J88" s="262"/>
      <c r="K88" s="88"/>
      <c r="L88" s="143">
        <f t="shared" si="13"/>
        <v>0</v>
      </c>
      <c r="N88" s="81"/>
      <c r="R88" s="79" t="str">
        <f t="shared" si="14"/>
        <v>NOT</v>
      </c>
      <c r="S88" s="79" t="str">
        <f t="shared" si="15"/>
        <v>NOT</v>
      </c>
      <c r="T88" s="79" t="str">
        <f t="shared" si="16"/>
        <v>NOT</v>
      </c>
      <c r="V88" s="79" t="str">
        <f t="shared" si="17"/>
        <v/>
      </c>
    </row>
    <row r="89" spans="1:22" x14ac:dyDescent="0.2">
      <c r="B89" s="259"/>
      <c r="C89" s="88"/>
      <c r="D89" s="260"/>
      <c r="E89" s="243"/>
      <c r="F89" s="261"/>
      <c r="G89" s="243"/>
      <c r="H89" s="262"/>
      <c r="I89" s="243"/>
      <c r="J89" s="262"/>
      <c r="K89" s="88"/>
      <c r="L89" s="143">
        <f t="shared" si="13"/>
        <v>0</v>
      </c>
      <c r="N89" s="81"/>
      <c r="R89" s="79" t="str">
        <f t="shared" si="14"/>
        <v>NOT</v>
      </c>
      <c r="S89" s="79" t="str">
        <f t="shared" si="15"/>
        <v>NOT</v>
      </c>
      <c r="T89" s="79" t="str">
        <f t="shared" si="16"/>
        <v>NOT</v>
      </c>
      <c r="V89" s="79" t="str">
        <f t="shared" si="17"/>
        <v/>
      </c>
    </row>
    <row r="90" spans="1:22" x14ac:dyDescent="0.2">
      <c r="B90" s="259"/>
      <c r="C90" s="88"/>
      <c r="D90" s="260"/>
      <c r="E90" s="243"/>
      <c r="F90" s="261"/>
      <c r="G90" s="243"/>
      <c r="H90" s="262"/>
      <c r="I90" s="243"/>
      <c r="J90" s="262"/>
      <c r="K90" s="88"/>
      <c r="L90" s="143">
        <f t="shared" si="13"/>
        <v>0</v>
      </c>
      <c r="N90" s="81"/>
      <c r="R90" s="79" t="str">
        <f t="shared" si="14"/>
        <v>NOT</v>
      </c>
      <c r="S90" s="79" t="str">
        <f t="shared" si="15"/>
        <v>NOT</v>
      </c>
      <c r="T90" s="79" t="str">
        <f t="shared" si="16"/>
        <v>NOT</v>
      </c>
      <c r="V90" s="79" t="str">
        <f t="shared" si="17"/>
        <v/>
      </c>
    </row>
    <row r="91" spans="1:22" x14ac:dyDescent="0.2">
      <c r="B91" s="259"/>
      <c r="C91" s="88"/>
      <c r="D91" s="260"/>
      <c r="E91" s="243"/>
      <c r="F91" s="261"/>
      <c r="G91" s="243"/>
      <c r="H91" s="262"/>
      <c r="I91" s="243"/>
      <c r="J91" s="262"/>
      <c r="K91" s="88"/>
      <c r="L91" s="143">
        <f t="shared" si="13"/>
        <v>0</v>
      </c>
      <c r="N91" s="81"/>
      <c r="R91" s="79" t="str">
        <f t="shared" si="14"/>
        <v>NOT</v>
      </c>
      <c r="S91" s="79" t="str">
        <f t="shared" si="15"/>
        <v>NOT</v>
      </c>
      <c r="T91" s="79" t="str">
        <f t="shared" si="16"/>
        <v>NOT</v>
      </c>
      <c r="V91" s="79" t="str">
        <f t="shared" si="17"/>
        <v/>
      </c>
    </row>
    <row r="92" spans="1:22" x14ac:dyDescent="0.2">
      <c r="B92" s="259"/>
      <c r="C92" s="88"/>
      <c r="D92" s="260"/>
      <c r="E92" s="243"/>
      <c r="F92" s="261"/>
      <c r="G92" s="243"/>
      <c r="H92" s="262"/>
      <c r="I92" s="243"/>
      <c r="J92" s="262"/>
      <c r="K92" s="88"/>
      <c r="L92" s="143">
        <f t="shared" si="13"/>
        <v>0</v>
      </c>
      <c r="N92" s="81"/>
      <c r="R92" s="79" t="str">
        <f t="shared" si="14"/>
        <v>NOT</v>
      </c>
      <c r="S92" s="79" t="str">
        <f t="shared" si="15"/>
        <v>NOT</v>
      </c>
      <c r="T92" s="79" t="str">
        <f t="shared" si="16"/>
        <v>NOT</v>
      </c>
      <c r="V92" s="79" t="str">
        <f t="shared" si="17"/>
        <v/>
      </c>
    </row>
    <row r="93" spans="1:22" x14ac:dyDescent="0.2">
      <c r="B93" s="259"/>
      <c r="C93" s="88"/>
      <c r="D93" s="260"/>
      <c r="E93" s="243"/>
      <c r="F93" s="261"/>
      <c r="G93" s="243"/>
      <c r="H93" s="262"/>
      <c r="I93" s="243"/>
      <c r="J93" s="262"/>
      <c r="K93" s="88"/>
      <c r="L93" s="143">
        <f t="shared" si="13"/>
        <v>0</v>
      </c>
      <c r="N93" s="81"/>
      <c r="R93" s="79" t="str">
        <f t="shared" si="14"/>
        <v>NOT</v>
      </c>
      <c r="S93" s="79" t="str">
        <f t="shared" si="15"/>
        <v>NOT</v>
      </c>
      <c r="T93" s="79" t="str">
        <f t="shared" si="16"/>
        <v>NOT</v>
      </c>
      <c r="V93" s="79" t="str">
        <f t="shared" si="17"/>
        <v/>
      </c>
    </row>
    <row r="94" spans="1:22" x14ac:dyDescent="0.2">
      <c r="B94" s="259"/>
      <c r="C94" s="88"/>
      <c r="D94" s="260"/>
      <c r="E94" s="243"/>
      <c r="F94" s="261"/>
      <c r="G94" s="243"/>
      <c r="H94" s="262"/>
      <c r="I94" s="243"/>
      <c r="J94" s="262"/>
      <c r="K94" s="88"/>
      <c r="L94" s="143">
        <f t="shared" si="13"/>
        <v>0</v>
      </c>
      <c r="N94" s="81"/>
      <c r="R94" s="79" t="str">
        <f t="shared" si="14"/>
        <v>NOT</v>
      </c>
      <c r="S94" s="79" t="str">
        <f t="shared" si="15"/>
        <v>NOT</v>
      </c>
      <c r="T94" s="79" t="str">
        <f t="shared" si="16"/>
        <v>NOT</v>
      </c>
      <c r="V94" s="79" t="str">
        <f t="shared" si="17"/>
        <v/>
      </c>
    </row>
    <row r="95" spans="1:22" x14ac:dyDescent="0.2">
      <c r="B95" s="259"/>
      <c r="C95" s="88"/>
      <c r="D95" s="260"/>
      <c r="E95" s="243"/>
      <c r="F95" s="261"/>
      <c r="G95" s="243"/>
      <c r="H95" s="262"/>
      <c r="I95" s="243"/>
      <c r="J95" s="262"/>
      <c r="K95" s="88"/>
      <c r="L95" s="143">
        <f t="shared" si="13"/>
        <v>0</v>
      </c>
      <c r="N95" s="81"/>
      <c r="R95" s="79" t="str">
        <f t="shared" si="14"/>
        <v>NOT</v>
      </c>
      <c r="S95" s="79" t="str">
        <f t="shared" si="15"/>
        <v>NOT</v>
      </c>
      <c r="T95" s="79" t="str">
        <f t="shared" si="16"/>
        <v>NOT</v>
      </c>
      <c r="V95" s="79" t="str">
        <f t="shared" si="17"/>
        <v/>
      </c>
    </row>
    <row r="96" spans="1:22" x14ac:dyDescent="0.2">
      <c r="B96" s="259"/>
      <c r="C96" s="88"/>
      <c r="D96" s="260"/>
      <c r="E96" s="243"/>
      <c r="F96" s="261"/>
      <c r="G96" s="243"/>
      <c r="H96" s="262"/>
      <c r="I96" s="243"/>
      <c r="J96" s="262"/>
      <c r="K96" s="88"/>
      <c r="L96" s="143">
        <f t="shared" si="13"/>
        <v>0</v>
      </c>
      <c r="N96" s="81"/>
      <c r="R96" s="79" t="str">
        <f t="shared" si="14"/>
        <v>NOT</v>
      </c>
      <c r="S96" s="79" t="str">
        <f t="shared" si="15"/>
        <v>NOT</v>
      </c>
      <c r="T96" s="79" t="str">
        <f t="shared" si="16"/>
        <v>NOT</v>
      </c>
      <c r="V96" s="79" t="str">
        <f t="shared" si="17"/>
        <v/>
      </c>
    </row>
    <row r="97" spans="1:22" x14ac:dyDescent="0.2">
      <c r="B97" s="104"/>
      <c r="C97" s="88"/>
      <c r="D97" s="81"/>
      <c r="F97" s="81"/>
      <c r="H97" s="81"/>
      <c r="J97" s="81"/>
      <c r="K97" s="88"/>
      <c r="L97" s="81"/>
      <c r="N97" s="227"/>
    </row>
    <row r="98" spans="1:22" x14ac:dyDescent="0.2">
      <c r="B98" s="104"/>
      <c r="C98" s="88"/>
      <c r="D98" s="81"/>
      <c r="F98" s="81"/>
      <c r="H98" s="81"/>
      <c r="J98" s="81"/>
      <c r="K98" s="88"/>
      <c r="L98" s="81"/>
      <c r="N98" s="227"/>
    </row>
    <row r="99" spans="1:22" ht="27" customHeight="1" x14ac:dyDescent="0.2">
      <c r="A99" s="247">
        <v>5</v>
      </c>
      <c r="B99" s="248" t="s">
        <v>290</v>
      </c>
      <c r="C99" s="249"/>
      <c r="D99" s="760"/>
      <c r="E99" s="761"/>
      <c r="F99" s="761"/>
      <c r="G99" s="761"/>
      <c r="H99" s="762"/>
      <c r="I99" s="250"/>
      <c r="J99" s="251" t="s">
        <v>18</v>
      </c>
      <c r="K99" s="249"/>
      <c r="L99" s="252">
        <f>L101+L112+L130+L148+L162+L174+L192</f>
        <v>7850</v>
      </c>
      <c r="M99" s="250"/>
      <c r="N99" s="253">
        <f>IF(L99=0,0%,L99/L$8)</f>
        <v>4.3677962659514978E-2</v>
      </c>
      <c r="O99" s="94"/>
      <c r="P99" s="95"/>
      <c r="Q99" s="79">
        <f>IF(N99&gt;O99,D99,"")</f>
        <v>0</v>
      </c>
    </row>
    <row r="100" spans="1:22" s="76" customFormat="1" ht="7.5" customHeight="1" x14ac:dyDescent="0.2">
      <c r="A100" s="87"/>
      <c r="B100" s="88"/>
      <c r="C100" s="88"/>
      <c r="D100" s="70"/>
      <c r="E100" s="70"/>
      <c r="F100" s="70"/>
      <c r="G100" s="70"/>
      <c r="H100" s="70"/>
      <c r="I100" s="70"/>
      <c r="J100" s="70"/>
      <c r="K100" s="88"/>
      <c r="L100" s="70"/>
      <c r="M100" s="70"/>
      <c r="N100" s="70"/>
      <c r="O100" s="89"/>
      <c r="V100" s="79"/>
    </row>
    <row r="101" spans="1:22" ht="13.5" customHeight="1" x14ac:dyDescent="0.2">
      <c r="A101" s="276"/>
      <c r="B101" s="278" t="s">
        <v>291</v>
      </c>
      <c r="C101" s="277"/>
      <c r="D101" s="747" t="s">
        <v>166</v>
      </c>
      <c r="E101" s="748"/>
      <c r="F101" s="748"/>
      <c r="G101" s="748"/>
      <c r="H101" s="748"/>
      <c r="I101" s="279"/>
      <c r="J101" s="280" t="s">
        <v>18</v>
      </c>
      <c r="K101" s="88"/>
      <c r="L101" s="156">
        <f>SUM(L108:L110)</f>
        <v>0</v>
      </c>
      <c r="M101" s="246"/>
      <c r="N101" s="147">
        <f>IF(L101=0,0%,L101/L$8)</f>
        <v>0</v>
      </c>
      <c r="O101" s="495">
        <f>IF(LEN(R101)&gt;3,1,0)</f>
        <v>0</v>
      </c>
      <c r="R101" s="79" t="str">
        <f>IF(AND(R107="NOT",S107="NOT",T107="NOT"),"NOT",D101)</f>
        <v>NOT</v>
      </c>
    </row>
    <row r="102" spans="1:22" s="76" customFormat="1" ht="3" customHeight="1" x14ac:dyDescent="0.2">
      <c r="A102" s="87"/>
      <c r="B102" s="88"/>
      <c r="C102" s="88"/>
      <c r="D102" s="70"/>
      <c r="E102" s="70"/>
      <c r="F102" s="70"/>
      <c r="G102" s="70"/>
      <c r="H102" s="70"/>
      <c r="I102" s="70"/>
      <c r="J102" s="70"/>
      <c r="K102" s="88"/>
      <c r="L102" s="70"/>
      <c r="M102" s="70"/>
      <c r="N102" s="70"/>
      <c r="O102" s="89"/>
      <c r="V102" s="79"/>
    </row>
    <row r="103" spans="1:22" x14ac:dyDescent="0.2">
      <c r="B103" s="742" t="s">
        <v>197</v>
      </c>
      <c r="C103" s="743"/>
      <c r="D103" s="743"/>
      <c r="E103" s="743"/>
      <c r="F103" s="743"/>
      <c r="H103" s="81"/>
      <c r="J103" s="81"/>
      <c r="K103" s="88"/>
      <c r="L103" s="81"/>
      <c r="N103" s="227"/>
      <c r="R103" s="79" t="str">
        <f>IF(AND(($L101&gt;0),ISBLANK(B105)),B103,"NOT")</f>
        <v>NOT</v>
      </c>
    </row>
    <row r="104" spans="1:22" ht="3" customHeight="1" x14ac:dyDescent="0.2">
      <c r="B104" s="104"/>
      <c r="C104" s="88"/>
      <c r="D104" s="81"/>
      <c r="F104" s="81"/>
      <c r="H104" s="81"/>
      <c r="J104" s="81"/>
      <c r="K104" s="88"/>
      <c r="L104" s="81"/>
      <c r="N104" s="227"/>
    </row>
    <row r="105" spans="1:22" ht="36" customHeight="1" x14ac:dyDescent="0.2">
      <c r="B105" s="744"/>
      <c r="C105" s="745"/>
      <c r="D105" s="745"/>
      <c r="E105" s="745"/>
      <c r="F105" s="745"/>
      <c r="G105" s="745"/>
      <c r="H105" s="745"/>
      <c r="I105" s="745"/>
      <c r="J105" s="745"/>
      <c r="K105" s="745"/>
      <c r="L105" s="746"/>
      <c r="M105" s="70" t="s">
        <v>19</v>
      </c>
      <c r="N105" s="227"/>
    </row>
    <row r="106" spans="1:22" ht="3.75" customHeight="1" x14ac:dyDescent="0.2">
      <c r="B106" s="104"/>
      <c r="C106" s="88"/>
      <c r="D106" s="81"/>
      <c r="F106" s="81"/>
      <c r="H106" s="81"/>
      <c r="J106" s="81"/>
      <c r="K106" s="88"/>
      <c r="L106" s="81"/>
      <c r="N106" s="227"/>
    </row>
    <row r="107" spans="1:22" ht="12.75" customHeight="1" x14ac:dyDescent="0.2">
      <c r="B107" s="244" t="s">
        <v>17</v>
      </c>
      <c r="C107" s="88"/>
      <c r="D107" s="244" t="s">
        <v>580</v>
      </c>
      <c r="F107" s="244" t="s">
        <v>205</v>
      </c>
      <c r="H107" s="244" t="s">
        <v>16</v>
      </c>
      <c r="J107" s="244" t="s">
        <v>15</v>
      </c>
      <c r="K107" s="245"/>
      <c r="L107" s="103" t="s">
        <v>141</v>
      </c>
      <c r="N107" s="81"/>
      <c r="R107" s="255" t="str">
        <f>IF(AND(R108="NOT",R109="NOT",R110="NOT",R103="NOT"),"NOT",D101)</f>
        <v>NOT</v>
      </c>
      <c r="S107" s="255" t="str">
        <f>IF(AND(S108="NOT",S109="NOT",S110="NOT",R103="NOT"),"NOT",D101)</f>
        <v>NOT</v>
      </c>
      <c r="T107" s="255" t="str">
        <f>IF(AND(T108="NOT",T109="NOT",T110="NOT",R103="NOT"),"NOT",D101)</f>
        <v>NOT</v>
      </c>
    </row>
    <row r="108" spans="1:22" x14ac:dyDescent="0.2">
      <c r="B108" s="259"/>
      <c r="C108" s="88"/>
      <c r="D108" s="260"/>
      <c r="E108" s="243"/>
      <c r="F108" s="261"/>
      <c r="G108" s="243"/>
      <c r="H108" s="262"/>
      <c r="I108" s="243"/>
      <c r="J108" s="262"/>
      <c r="K108" s="88"/>
      <c r="L108" s="143">
        <f>TRUNC(H108*J108,2)</f>
        <v>0</v>
      </c>
      <c r="N108" s="81"/>
      <c r="R108" s="79" t="str">
        <f>IF(AND(($L108&gt;0),ISBLANK(B108)),B108,"NOT")</f>
        <v>NOT</v>
      </c>
      <c r="S108" s="79" t="str">
        <f>IF(AND(($L108&gt;0),ISBLANK(D108)),D108,"NOT")</f>
        <v>NOT</v>
      </c>
      <c r="T108" s="79" t="str">
        <f>IF(AND(($L108&gt;0),ISBLANK(F108)),F108,"NOT")</f>
        <v>NOT</v>
      </c>
      <c r="V108" s="79" t="str">
        <f>LEFT(D108,3)</f>
        <v/>
      </c>
    </row>
    <row r="109" spans="1:22" x14ac:dyDescent="0.2">
      <c r="B109" s="259"/>
      <c r="C109" s="88"/>
      <c r="D109" s="260"/>
      <c r="E109" s="243"/>
      <c r="F109" s="261"/>
      <c r="G109" s="243"/>
      <c r="H109" s="262"/>
      <c r="I109" s="243"/>
      <c r="J109" s="262"/>
      <c r="K109" s="88"/>
      <c r="L109" s="143">
        <f>TRUNC(H109*J109,2)</f>
        <v>0</v>
      </c>
      <c r="N109" s="81"/>
      <c r="R109" s="79" t="str">
        <f>IF(AND(($L109&gt;0),ISBLANK(B109)),B109,"NOT")</f>
        <v>NOT</v>
      </c>
      <c r="S109" s="79" t="str">
        <f>IF(AND(($L109&gt;0),ISBLANK(D109)),D109,"NOT")</f>
        <v>NOT</v>
      </c>
      <c r="T109" s="79" t="str">
        <f>IF(AND(($L109&gt;0),ISBLANK(F109)),F109,"NOT")</f>
        <v>NOT</v>
      </c>
      <c r="V109" s="79" t="str">
        <f>LEFT(D109,3)</f>
        <v/>
      </c>
    </row>
    <row r="110" spans="1:22" x14ac:dyDescent="0.2">
      <c r="B110" s="259"/>
      <c r="C110" s="88"/>
      <c r="D110" s="260"/>
      <c r="E110" s="243"/>
      <c r="F110" s="261"/>
      <c r="G110" s="243"/>
      <c r="H110" s="262"/>
      <c r="I110" s="243"/>
      <c r="J110" s="262"/>
      <c r="K110" s="88"/>
      <c r="L110" s="143">
        <f>TRUNC(H110*J110,2)</f>
        <v>0</v>
      </c>
      <c r="N110" s="81"/>
      <c r="R110" s="79" t="str">
        <f>IF(AND(($L110&gt;0),ISBLANK(B110)),B110,"NOT")</f>
        <v>NOT</v>
      </c>
      <c r="S110" s="79" t="str">
        <f>IF(AND(($L110&gt;0),ISBLANK(D110)),D110,"NOT")</f>
        <v>NOT</v>
      </c>
      <c r="T110" s="79" t="str">
        <f>IF(AND(($L110&gt;0),ISBLANK(F110)),F110,"NOT")</f>
        <v>NOT</v>
      </c>
      <c r="V110" s="79" t="str">
        <f>LEFT(D110,3)</f>
        <v/>
      </c>
    </row>
    <row r="111" spans="1:22" x14ac:dyDescent="0.2">
      <c r="B111" s="104"/>
      <c r="C111" s="88"/>
      <c r="D111" s="81"/>
      <c r="F111" s="81"/>
      <c r="H111" s="81"/>
      <c r="J111" s="81"/>
      <c r="K111" s="88"/>
      <c r="L111" s="81"/>
      <c r="N111" s="227"/>
    </row>
    <row r="112" spans="1:22" ht="25.5" customHeight="1" x14ac:dyDescent="0.2">
      <c r="A112" s="276"/>
      <c r="B112" s="278" t="s">
        <v>292</v>
      </c>
      <c r="C112" s="277"/>
      <c r="D112" s="747" t="s">
        <v>166</v>
      </c>
      <c r="E112" s="748"/>
      <c r="F112" s="748"/>
      <c r="G112" s="748"/>
      <c r="H112" s="748"/>
      <c r="I112" s="279"/>
      <c r="J112" s="280" t="s">
        <v>18</v>
      </c>
      <c r="K112" s="88"/>
      <c r="L112" s="156">
        <f>SUM(L119:L128)</f>
        <v>7850</v>
      </c>
      <c r="M112" s="246"/>
      <c r="N112" s="147">
        <f>IF(L112=0,0%,L112/L$8)</f>
        <v>4.3677962659514978E-2</v>
      </c>
      <c r="O112" s="495">
        <f>IF(LEN(R112)&gt;3,1,0)</f>
        <v>0</v>
      </c>
      <c r="R112" s="79" t="str">
        <f>IF(AND(R118="NOT",S118="NOT",T118="NOT"),"NOT",D112)</f>
        <v>NOT</v>
      </c>
    </row>
    <row r="113" spans="1:22" s="76" customFormat="1" ht="3" customHeight="1" x14ac:dyDescent="0.2">
      <c r="A113" s="87"/>
      <c r="B113" s="88"/>
      <c r="C113" s="88"/>
      <c r="D113" s="70"/>
      <c r="E113" s="70"/>
      <c r="F113" s="70"/>
      <c r="G113" s="70"/>
      <c r="H113" s="70"/>
      <c r="I113" s="70"/>
      <c r="J113" s="70"/>
      <c r="K113" s="88"/>
      <c r="L113" s="70"/>
      <c r="M113" s="70"/>
      <c r="N113" s="70"/>
      <c r="O113" s="89"/>
      <c r="V113" s="79"/>
    </row>
    <row r="114" spans="1:22" ht="25.5" customHeight="1" x14ac:dyDescent="0.2">
      <c r="B114" s="749" t="s">
        <v>203</v>
      </c>
      <c r="C114" s="787"/>
      <c r="D114" s="787"/>
      <c r="E114" s="787"/>
      <c r="F114" s="787"/>
      <c r="H114" s="81"/>
      <c r="J114" s="81"/>
      <c r="K114" s="88"/>
      <c r="L114" s="81"/>
      <c r="N114" s="227"/>
      <c r="R114" s="79" t="str">
        <f>IF(AND(($L112&gt;0),ISBLANK(B116)),B114,"NOT")</f>
        <v>NOT</v>
      </c>
    </row>
    <row r="115" spans="1:22" ht="3" customHeight="1" x14ac:dyDescent="0.2">
      <c r="B115" s="104"/>
      <c r="C115" s="88"/>
      <c r="D115" s="81"/>
      <c r="F115" s="81"/>
      <c r="H115" s="81"/>
      <c r="J115" s="81"/>
      <c r="K115" s="88"/>
      <c r="L115" s="81"/>
      <c r="N115" s="227"/>
    </row>
    <row r="116" spans="1:22" ht="60" customHeight="1" x14ac:dyDescent="0.2">
      <c r="B116" s="790" t="s">
        <v>1063</v>
      </c>
      <c r="C116" s="745"/>
      <c r="D116" s="745"/>
      <c r="E116" s="745"/>
      <c r="F116" s="745"/>
      <c r="G116" s="745"/>
      <c r="H116" s="745"/>
      <c r="I116" s="745"/>
      <c r="J116" s="745"/>
      <c r="K116" s="745"/>
      <c r="L116" s="746"/>
      <c r="M116" s="70" t="s">
        <v>19</v>
      </c>
      <c r="N116" s="227"/>
    </row>
    <row r="117" spans="1:22" ht="3.75" customHeight="1" x14ac:dyDescent="0.2">
      <c r="B117" s="104"/>
      <c r="C117" s="88"/>
      <c r="D117" s="81"/>
      <c r="F117" s="81"/>
      <c r="H117" s="81"/>
      <c r="J117" s="81"/>
      <c r="K117" s="88"/>
      <c r="L117" s="81"/>
      <c r="N117" s="227"/>
    </row>
    <row r="118" spans="1:22" ht="25.5" x14ac:dyDescent="0.2">
      <c r="B118" s="244" t="s">
        <v>579</v>
      </c>
      <c r="C118" s="88"/>
      <c r="D118" s="244" t="s">
        <v>580</v>
      </c>
      <c r="F118" s="244" t="s">
        <v>205</v>
      </c>
      <c r="H118" s="244" t="s">
        <v>16</v>
      </c>
      <c r="J118" s="244" t="s">
        <v>15</v>
      </c>
      <c r="K118" s="245"/>
      <c r="L118" s="103" t="s">
        <v>141</v>
      </c>
      <c r="N118" s="81"/>
      <c r="R118" s="255" t="str">
        <f>IF(AND(R119="NOT",R120="NOT",R121="NOT",R122="NOT",R123="NOT",R124="NOT",R125="NOT",R126="NOT",R127="NOT",R128="NOT",R114="NOT"),"NOT",D112)</f>
        <v>NOT</v>
      </c>
      <c r="S118" s="255" t="str">
        <f>IF(AND(S119="NOT",S120="NOT",S121="NOT",S122="NOT",S123="NOT",S124="NOT",S125="NOT",S126="NOT",S127="NOT",S128="NOT",R114="NOT"),"NOT",D112)</f>
        <v>NOT</v>
      </c>
      <c r="T118" s="255" t="str">
        <f>IF(AND(T119="NOT",T120="NOT",T121="NOT",T122="NOT",T123="NOT",T124="NOT",T125="NOT",T126="NOT",T127="NOT",T128="NOT",R114="NOT"),"NOT",D112)</f>
        <v>NOT</v>
      </c>
    </row>
    <row r="119" spans="1:22" ht="38.25" x14ac:dyDescent="0.2">
      <c r="B119" s="512" t="s">
        <v>989</v>
      </c>
      <c r="C119" s="88"/>
      <c r="D119" s="260" t="s">
        <v>990</v>
      </c>
      <c r="E119" s="243"/>
      <c r="F119" s="513" t="s">
        <v>764</v>
      </c>
      <c r="G119" s="243"/>
      <c r="H119" s="262">
        <v>1</v>
      </c>
      <c r="I119" s="243"/>
      <c r="J119" s="262">
        <v>5200</v>
      </c>
      <c r="K119" s="88"/>
      <c r="L119" s="143">
        <f t="shared" ref="L119:L128" si="18">TRUNC(H119*J119,2)</f>
        <v>5200</v>
      </c>
      <c r="N119" s="81"/>
      <c r="R119" s="79" t="str">
        <f t="shared" ref="R119:R128" si="19">IF(AND(($L119&gt;0),ISBLANK(B119)),B119,"NOT")</f>
        <v>NOT</v>
      </c>
      <c r="S119" s="79" t="str">
        <f t="shared" ref="S119:S128" si="20">IF(AND(($L119&gt;0),ISBLANK(D119)),D119,"NOT")</f>
        <v>NOT</v>
      </c>
      <c r="T119" s="79" t="str">
        <f t="shared" ref="T119:T128" si="21">IF(AND(($L119&gt;0),ISBLANK(F119)),F119,"NOT")</f>
        <v>NOT</v>
      </c>
      <c r="V119" s="79" t="str">
        <f t="shared" ref="V119:V128" si="22">LEFT(D119,3)</f>
        <v xml:space="preserve">9. </v>
      </c>
    </row>
    <row r="120" spans="1:22" ht="38.25" x14ac:dyDescent="0.2">
      <c r="B120" s="520" t="s">
        <v>1062</v>
      </c>
      <c r="C120" s="88"/>
      <c r="D120" s="260" t="s">
        <v>990</v>
      </c>
      <c r="E120" s="243"/>
      <c r="F120" s="261" t="s">
        <v>764</v>
      </c>
      <c r="G120" s="243"/>
      <c r="H120" s="262">
        <v>1</v>
      </c>
      <c r="I120" s="243"/>
      <c r="J120" s="262">
        <v>2650</v>
      </c>
      <c r="K120" s="88"/>
      <c r="L120" s="143">
        <f t="shared" si="18"/>
        <v>2650</v>
      </c>
      <c r="N120" s="81"/>
      <c r="R120" s="79" t="str">
        <f t="shared" si="19"/>
        <v>NOT</v>
      </c>
      <c r="S120" s="79" t="str">
        <f t="shared" si="20"/>
        <v>NOT</v>
      </c>
      <c r="T120" s="79" t="str">
        <f t="shared" si="21"/>
        <v>NOT</v>
      </c>
      <c r="V120" s="79" t="str">
        <f t="shared" si="22"/>
        <v xml:space="preserve">9. </v>
      </c>
    </row>
    <row r="121" spans="1:22" x14ac:dyDescent="0.2">
      <c r="B121" s="259"/>
      <c r="C121" s="88"/>
      <c r="D121" s="260"/>
      <c r="E121" s="243"/>
      <c r="F121" s="261"/>
      <c r="G121" s="243"/>
      <c r="H121" s="262"/>
      <c r="I121" s="243"/>
      <c r="J121" s="262"/>
      <c r="K121" s="88"/>
      <c r="L121" s="143">
        <f t="shared" si="18"/>
        <v>0</v>
      </c>
      <c r="N121" s="81"/>
      <c r="R121" s="79" t="str">
        <f t="shared" si="19"/>
        <v>NOT</v>
      </c>
      <c r="S121" s="79" t="str">
        <f t="shared" si="20"/>
        <v>NOT</v>
      </c>
      <c r="T121" s="79" t="str">
        <f t="shared" si="21"/>
        <v>NOT</v>
      </c>
      <c r="V121" s="79" t="str">
        <f t="shared" si="22"/>
        <v/>
      </c>
    </row>
    <row r="122" spans="1:22" x14ac:dyDescent="0.2">
      <c r="B122" s="259"/>
      <c r="C122" s="88"/>
      <c r="D122" s="260"/>
      <c r="E122" s="243"/>
      <c r="F122" s="261"/>
      <c r="G122" s="243"/>
      <c r="H122" s="262"/>
      <c r="I122" s="243"/>
      <c r="J122" s="262"/>
      <c r="K122" s="88"/>
      <c r="L122" s="143">
        <f t="shared" si="18"/>
        <v>0</v>
      </c>
      <c r="N122" s="81"/>
      <c r="R122" s="79" t="str">
        <f t="shared" si="19"/>
        <v>NOT</v>
      </c>
      <c r="S122" s="79" t="str">
        <f t="shared" si="20"/>
        <v>NOT</v>
      </c>
      <c r="T122" s="79" t="str">
        <f t="shared" si="21"/>
        <v>NOT</v>
      </c>
      <c r="V122" s="79" t="str">
        <f t="shared" si="22"/>
        <v/>
      </c>
    </row>
    <row r="123" spans="1:22" x14ac:dyDescent="0.2">
      <c r="B123" s="259"/>
      <c r="C123" s="88"/>
      <c r="D123" s="260"/>
      <c r="E123" s="243"/>
      <c r="F123" s="261"/>
      <c r="G123" s="243"/>
      <c r="H123" s="262"/>
      <c r="I123" s="243"/>
      <c r="J123" s="262"/>
      <c r="K123" s="88"/>
      <c r="L123" s="143">
        <f t="shared" si="18"/>
        <v>0</v>
      </c>
      <c r="N123" s="81"/>
      <c r="R123" s="79" t="str">
        <f t="shared" si="19"/>
        <v>NOT</v>
      </c>
      <c r="S123" s="79" t="str">
        <f t="shared" si="20"/>
        <v>NOT</v>
      </c>
      <c r="T123" s="79" t="str">
        <f t="shared" si="21"/>
        <v>NOT</v>
      </c>
      <c r="V123" s="79" t="str">
        <f t="shared" si="22"/>
        <v/>
      </c>
    </row>
    <row r="124" spans="1:22" x14ac:dyDescent="0.2">
      <c r="B124" s="259"/>
      <c r="C124" s="88"/>
      <c r="D124" s="260"/>
      <c r="E124" s="243"/>
      <c r="F124" s="261"/>
      <c r="G124" s="243"/>
      <c r="H124" s="262"/>
      <c r="I124" s="243"/>
      <c r="J124" s="262"/>
      <c r="K124" s="88"/>
      <c r="L124" s="143">
        <f t="shared" si="18"/>
        <v>0</v>
      </c>
      <c r="N124" s="81"/>
      <c r="R124" s="79" t="str">
        <f t="shared" si="19"/>
        <v>NOT</v>
      </c>
      <c r="S124" s="79" t="str">
        <f t="shared" si="20"/>
        <v>NOT</v>
      </c>
      <c r="T124" s="79" t="str">
        <f t="shared" si="21"/>
        <v>NOT</v>
      </c>
      <c r="V124" s="79" t="str">
        <f t="shared" si="22"/>
        <v/>
      </c>
    </row>
    <row r="125" spans="1:22" x14ac:dyDescent="0.2">
      <c r="B125" s="259"/>
      <c r="C125" s="88"/>
      <c r="D125" s="260"/>
      <c r="E125" s="243"/>
      <c r="F125" s="261"/>
      <c r="G125" s="243"/>
      <c r="H125" s="262"/>
      <c r="I125" s="243"/>
      <c r="J125" s="262"/>
      <c r="K125" s="88"/>
      <c r="L125" s="143">
        <f t="shared" si="18"/>
        <v>0</v>
      </c>
      <c r="N125" s="81"/>
      <c r="R125" s="79" t="str">
        <f t="shared" si="19"/>
        <v>NOT</v>
      </c>
      <c r="S125" s="79" t="str">
        <f t="shared" si="20"/>
        <v>NOT</v>
      </c>
      <c r="T125" s="79" t="str">
        <f t="shared" si="21"/>
        <v>NOT</v>
      </c>
      <c r="V125" s="79" t="str">
        <f t="shared" si="22"/>
        <v/>
      </c>
    </row>
    <row r="126" spans="1:22" x14ac:dyDescent="0.2">
      <c r="B126" s="259"/>
      <c r="C126" s="88"/>
      <c r="D126" s="260"/>
      <c r="E126" s="243"/>
      <c r="F126" s="261"/>
      <c r="G126" s="243"/>
      <c r="H126" s="262"/>
      <c r="I126" s="243"/>
      <c r="J126" s="262"/>
      <c r="K126" s="88"/>
      <c r="L126" s="143">
        <f t="shared" si="18"/>
        <v>0</v>
      </c>
      <c r="N126" s="81"/>
      <c r="R126" s="79" t="str">
        <f t="shared" si="19"/>
        <v>NOT</v>
      </c>
      <c r="S126" s="79" t="str">
        <f t="shared" si="20"/>
        <v>NOT</v>
      </c>
      <c r="T126" s="79" t="str">
        <f t="shared" si="21"/>
        <v>NOT</v>
      </c>
      <c r="V126" s="79" t="str">
        <f t="shared" si="22"/>
        <v/>
      </c>
    </row>
    <row r="127" spans="1:22" x14ac:dyDescent="0.2">
      <c r="B127" s="259"/>
      <c r="C127" s="88"/>
      <c r="D127" s="260"/>
      <c r="E127" s="243"/>
      <c r="F127" s="261"/>
      <c r="G127" s="243"/>
      <c r="H127" s="262"/>
      <c r="I127" s="243"/>
      <c r="J127" s="262"/>
      <c r="K127" s="88"/>
      <c r="L127" s="143">
        <f t="shared" si="18"/>
        <v>0</v>
      </c>
      <c r="N127" s="81"/>
      <c r="R127" s="79" t="str">
        <f t="shared" si="19"/>
        <v>NOT</v>
      </c>
      <c r="S127" s="79" t="str">
        <f t="shared" si="20"/>
        <v>NOT</v>
      </c>
      <c r="T127" s="79" t="str">
        <f t="shared" si="21"/>
        <v>NOT</v>
      </c>
      <c r="V127" s="79" t="str">
        <f t="shared" si="22"/>
        <v/>
      </c>
    </row>
    <row r="128" spans="1:22" x14ac:dyDescent="0.2">
      <c r="B128" s="259"/>
      <c r="C128" s="88"/>
      <c r="D128" s="260"/>
      <c r="E128" s="243"/>
      <c r="F128" s="261"/>
      <c r="G128" s="243"/>
      <c r="H128" s="262"/>
      <c r="I128" s="243"/>
      <c r="J128" s="262"/>
      <c r="K128" s="88"/>
      <c r="L128" s="143">
        <f t="shared" si="18"/>
        <v>0</v>
      </c>
      <c r="N128" s="81"/>
      <c r="R128" s="79" t="str">
        <f t="shared" si="19"/>
        <v>NOT</v>
      </c>
      <c r="S128" s="79" t="str">
        <f t="shared" si="20"/>
        <v>NOT</v>
      </c>
      <c r="T128" s="79" t="str">
        <f t="shared" si="21"/>
        <v>NOT</v>
      </c>
      <c r="V128" s="79" t="str">
        <f t="shared" si="22"/>
        <v/>
      </c>
    </row>
    <row r="129" spans="1:22" s="76" customFormat="1" ht="12.75" customHeight="1" x14ac:dyDescent="0.2">
      <c r="A129" s="87"/>
      <c r="B129" s="88"/>
      <c r="C129" s="88"/>
      <c r="D129" s="70"/>
      <c r="E129" s="70"/>
      <c r="F129" s="70"/>
      <c r="G129" s="70"/>
      <c r="H129" s="70"/>
      <c r="I129" s="70"/>
      <c r="J129" s="70"/>
      <c r="K129" s="88"/>
      <c r="L129" s="70"/>
      <c r="M129" s="70"/>
      <c r="N129" s="70"/>
      <c r="O129" s="89"/>
      <c r="V129" s="79"/>
    </row>
    <row r="130" spans="1:22" ht="28.5" customHeight="1" x14ac:dyDescent="0.2">
      <c r="A130" s="276"/>
      <c r="B130" s="278" t="s">
        <v>295</v>
      </c>
      <c r="C130" s="277"/>
      <c r="D130" s="747" t="s">
        <v>166</v>
      </c>
      <c r="E130" s="748"/>
      <c r="F130" s="748"/>
      <c r="G130" s="748"/>
      <c r="H130" s="748"/>
      <c r="I130" s="279"/>
      <c r="J130" s="280" t="s">
        <v>18</v>
      </c>
      <c r="K130" s="88"/>
      <c r="L130" s="156">
        <f>SUM(L137:L146)</f>
        <v>0</v>
      </c>
      <c r="M130" s="246"/>
      <c r="N130" s="147">
        <f>IF(L130=0,0%,L130/L$8)</f>
        <v>0</v>
      </c>
      <c r="O130" s="495">
        <f>IF(LEN(R130)&gt;3,1,0)</f>
        <v>0</v>
      </c>
      <c r="R130" s="79" t="str">
        <f>IF(AND(R136="NOT",S136="NOT",T136="NOT"),"NOT",D130)</f>
        <v>NOT</v>
      </c>
    </row>
    <row r="131" spans="1:22" s="76" customFormat="1" ht="3" customHeight="1" x14ac:dyDescent="0.2">
      <c r="A131" s="87"/>
      <c r="B131" s="88"/>
      <c r="C131" s="88"/>
      <c r="D131" s="70"/>
      <c r="E131" s="70"/>
      <c r="F131" s="70"/>
      <c r="G131" s="70"/>
      <c r="H131" s="70"/>
      <c r="I131" s="70"/>
      <c r="J131" s="70"/>
      <c r="K131" s="88"/>
      <c r="L131" s="70"/>
      <c r="M131" s="70"/>
      <c r="N131" s="70"/>
      <c r="O131" s="89"/>
      <c r="V131" s="79"/>
    </row>
    <row r="132" spans="1:22" ht="27.75" customHeight="1" x14ac:dyDescent="0.2">
      <c r="B132" s="742" t="s">
        <v>198</v>
      </c>
      <c r="C132" s="743"/>
      <c r="D132" s="743"/>
      <c r="E132" s="743"/>
      <c r="F132" s="743"/>
      <c r="H132" s="81"/>
      <c r="J132" s="81"/>
      <c r="K132" s="88"/>
      <c r="L132" s="81"/>
      <c r="N132" s="227"/>
      <c r="R132" s="79" t="str">
        <f>IF(AND(($L130&gt;0),ISBLANK(B134)),B132,"NOT")</f>
        <v>NOT</v>
      </c>
    </row>
    <row r="133" spans="1:22" ht="3" customHeight="1" x14ac:dyDescent="0.2">
      <c r="B133" s="104"/>
      <c r="C133" s="88"/>
      <c r="D133" s="81"/>
      <c r="F133" s="81"/>
      <c r="H133" s="81"/>
      <c r="J133" s="81"/>
      <c r="K133" s="88"/>
      <c r="L133" s="81"/>
      <c r="N133" s="227"/>
    </row>
    <row r="134" spans="1:22" ht="81" customHeight="1" x14ac:dyDescent="0.2">
      <c r="B134" s="744"/>
      <c r="C134" s="745"/>
      <c r="D134" s="745"/>
      <c r="E134" s="745"/>
      <c r="F134" s="745"/>
      <c r="G134" s="745"/>
      <c r="H134" s="745"/>
      <c r="I134" s="745"/>
      <c r="J134" s="745"/>
      <c r="K134" s="745"/>
      <c r="L134" s="746"/>
      <c r="M134" s="70" t="s">
        <v>19</v>
      </c>
      <c r="N134" s="227"/>
    </row>
    <row r="135" spans="1:22" ht="3.75" customHeight="1" x14ac:dyDescent="0.2">
      <c r="B135" s="104"/>
      <c r="C135" s="88"/>
      <c r="D135" s="81"/>
      <c r="F135" s="81"/>
      <c r="H135" s="81"/>
      <c r="J135" s="81"/>
      <c r="K135" s="88"/>
      <c r="L135" s="81"/>
      <c r="N135" s="227"/>
    </row>
    <row r="136" spans="1:22" ht="38.25" x14ac:dyDescent="0.2">
      <c r="B136" s="244" t="s">
        <v>199</v>
      </c>
      <c r="C136" s="88"/>
      <c r="D136" s="244" t="s">
        <v>580</v>
      </c>
      <c r="F136" s="244" t="s">
        <v>205</v>
      </c>
      <c r="H136" s="244" t="s">
        <v>16</v>
      </c>
      <c r="J136" s="244" t="s">
        <v>15</v>
      </c>
      <c r="K136" s="245"/>
      <c r="L136" s="103" t="s">
        <v>141</v>
      </c>
      <c r="N136" s="81"/>
      <c r="R136" s="255" t="str">
        <f>IF(AND(R137="NOT",R138="NOT",R139="NOT",R140="NOT",R141="NOT",R142="NOT",R143="NOT",R144="NOT",R145="NOT",R146="NOT",R132="NOT"),"NOT",D130)</f>
        <v>NOT</v>
      </c>
      <c r="S136" s="255" t="str">
        <f>IF(AND(S137="NOT",S138="NOT",S139="NOT",S140="NOT",S141="NOT",S142="NOT",S143="NOT",S144="NOT",S145="NOT",S146="NOT",R132="NOT"),"NOT",D130)</f>
        <v>NOT</v>
      </c>
      <c r="T136" s="255" t="str">
        <f>IF(AND(T137="NOT",T138="NOT",T139="NOT",T140="NOT",T141="NOT",T142="NOT",T143="NOT",T144="NOT",T145="NOT",T146="NOT",R132="NOT"),"NOT",D130)</f>
        <v>NOT</v>
      </c>
    </row>
    <row r="137" spans="1:22" x14ac:dyDescent="0.2">
      <c r="B137" s="259"/>
      <c r="C137" s="88"/>
      <c r="D137" s="260"/>
      <c r="E137" s="243"/>
      <c r="F137" s="261"/>
      <c r="G137" s="243"/>
      <c r="H137" s="262"/>
      <c r="I137" s="243"/>
      <c r="J137" s="262"/>
      <c r="K137" s="88"/>
      <c r="L137" s="143">
        <f t="shared" ref="L137:L146" si="23">TRUNC(H137*J137,2)</f>
        <v>0</v>
      </c>
      <c r="N137" s="81"/>
      <c r="R137" s="79" t="str">
        <f t="shared" ref="R137:R146" si="24">IF(AND(($L137&gt;0),ISBLANK(B137)),B137,"NOT")</f>
        <v>NOT</v>
      </c>
      <c r="S137" s="79" t="str">
        <f t="shared" ref="S137:S146" si="25">IF(AND(($L137&gt;0),ISBLANK(D137)),D137,"NOT")</f>
        <v>NOT</v>
      </c>
      <c r="T137" s="79" t="str">
        <f t="shared" ref="T137:T146" si="26">IF(AND(($L137&gt;0),ISBLANK(F137)),F137,"NOT")</f>
        <v>NOT</v>
      </c>
      <c r="V137" s="79" t="str">
        <f t="shared" ref="V137:V160" si="27">LEFT(D137,3)</f>
        <v/>
      </c>
    </row>
    <row r="138" spans="1:22" x14ac:dyDescent="0.2">
      <c r="B138" s="259"/>
      <c r="C138" s="88"/>
      <c r="D138" s="260"/>
      <c r="E138" s="243"/>
      <c r="F138" s="261"/>
      <c r="G138" s="243"/>
      <c r="H138" s="262"/>
      <c r="I138" s="243"/>
      <c r="J138" s="262"/>
      <c r="K138" s="88"/>
      <c r="L138" s="143">
        <f t="shared" si="23"/>
        <v>0</v>
      </c>
      <c r="N138" s="81"/>
      <c r="R138" s="79" t="str">
        <f t="shared" si="24"/>
        <v>NOT</v>
      </c>
      <c r="S138" s="79" t="str">
        <f t="shared" si="25"/>
        <v>NOT</v>
      </c>
      <c r="T138" s="79" t="str">
        <f t="shared" si="26"/>
        <v>NOT</v>
      </c>
      <c r="V138" s="79" t="str">
        <f t="shared" si="27"/>
        <v/>
      </c>
    </row>
    <row r="139" spans="1:22" x14ac:dyDescent="0.2">
      <c r="B139" s="259"/>
      <c r="C139" s="88"/>
      <c r="D139" s="260"/>
      <c r="E139" s="243"/>
      <c r="F139" s="261"/>
      <c r="G139" s="243"/>
      <c r="H139" s="262"/>
      <c r="I139" s="243"/>
      <c r="J139" s="262"/>
      <c r="K139" s="88"/>
      <c r="L139" s="143">
        <f t="shared" si="23"/>
        <v>0</v>
      </c>
      <c r="N139" s="81"/>
      <c r="R139" s="79" t="str">
        <f t="shared" si="24"/>
        <v>NOT</v>
      </c>
      <c r="S139" s="79" t="str">
        <f t="shared" si="25"/>
        <v>NOT</v>
      </c>
      <c r="T139" s="79" t="str">
        <f t="shared" si="26"/>
        <v>NOT</v>
      </c>
      <c r="V139" s="79" t="str">
        <f t="shared" si="27"/>
        <v/>
      </c>
    </row>
    <row r="140" spans="1:22" x14ac:dyDescent="0.2">
      <c r="B140" s="259"/>
      <c r="C140" s="88"/>
      <c r="D140" s="260"/>
      <c r="E140" s="243"/>
      <c r="F140" s="261"/>
      <c r="G140" s="243"/>
      <c r="H140" s="262"/>
      <c r="I140" s="243"/>
      <c r="J140" s="262"/>
      <c r="K140" s="88"/>
      <c r="L140" s="143">
        <f t="shared" si="23"/>
        <v>0</v>
      </c>
      <c r="N140" s="81"/>
      <c r="R140" s="79" t="str">
        <f t="shared" si="24"/>
        <v>NOT</v>
      </c>
      <c r="S140" s="79" t="str">
        <f t="shared" si="25"/>
        <v>NOT</v>
      </c>
      <c r="T140" s="79" t="str">
        <f t="shared" si="26"/>
        <v>NOT</v>
      </c>
      <c r="V140" s="79" t="str">
        <f t="shared" si="27"/>
        <v/>
      </c>
    </row>
    <row r="141" spans="1:22" x14ac:dyDescent="0.2">
      <c r="B141" s="259"/>
      <c r="C141" s="88"/>
      <c r="D141" s="260"/>
      <c r="E141" s="243"/>
      <c r="F141" s="261"/>
      <c r="G141" s="243"/>
      <c r="H141" s="262"/>
      <c r="I141" s="243"/>
      <c r="J141" s="262"/>
      <c r="K141" s="88"/>
      <c r="L141" s="143">
        <f t="shared" si="23"/>
        <v>0</v>
      </c>
      <c r="N141" s="81"/>
      <c r="R141" s="79" t="str">
        <f t="shared" si="24"/>
        <v>NOT</v>
      </c>
      <c r="S141" s="79" t="str">
        <f t="shared" si="25"/>
        <v>NOT</v>
      </c>
      <c r="T141" s="79" t="str">
        <f t="shared" si="26"/>
        <v>NOT</v>
      </c>
      <c r="V141" s="79" t="str">
        <f t="shared" si="27"/>
        <v/>
      </c>
    </row>
    <row r="142" spans="1:22" x14ac:dyDescent="0.2">
      <c r="B142" s="259"/>
      <c r="C142" s="88"/>
      <c r="D142" s="260"/>
      <c r="E142" s="243"/>
      <c r="F142" s="261"/>
      <c r="G142" s="243"/>
      <c r="H142" s="262"/>
      <c r="I142" s="243"/>
      <c r="J142" s="262"/>
      <c r="K142" s="88"/>
      <c r="L142" s="143">
        <f t="shared" si="23"/>
        <v>0</v>
      </c>
      <c r="N142" s="81"/>
      <c r="R142" s="79" t="str">
        <f t="shared" si="24"/>
        <v>NOT</v>
      </c>
      <c r="S142" s="79" t="str">
        <f t="shared" si="25"/>
        <v>NOT</v>
      </c>
      <c r="T142" s="79" t="str">
        <f t="shared" si="26"/>
        <v>NOT</v>
      </c>
      <c r="V142" s="79" t="str">
        <f t="shared" si="27"/>
        <v/>
      </c>
    </row>
    <row r="143" spans="1:22" x14ac:dyDescent="0.2">
      <c r="B143" s="259"/>
      <c r="C143" s="88"/>
      <c r="D143" s="260"/>
      <c r="E143" s="243"/>
      <c r="F143" s="261"/>
      <c r="G143" s="243"/>
      <c r="H143" s="262"/>
      <c r="I143" s="243"/>
      <c r="J143" s="262"/>
      <c r="K143" s="88"/>
      <c r="L143" s="143">
        <f t="shared" si="23"/>
        <v>0</v>
      </c>
      <c r="N143" s="81"/>
      <c r="R143" s="79" t="str">
        <f t="shared" si="24"/>
        <v>NOT</v>
      </c>
      <c r="S143" s="79" t="str">
        <f t="shared" si="25"/>
        <v>NOT</v>
      </c>
      <c r="T143" s="79" t="str">
        <f t="shared" si="26"/>
        <v>NOT</v>
      </c>
      <c r="V143" s="79" t="str">
        <f t="shared" si="27"/>
        <v/>
      </c>
    </row>
    <row r="144" spans="1:22" x14ac:dyDescent="0.2">
      <c r="B144" s="259"/>
      <c r="C144" s="88"/>
      <c r="D144" s="260"/>
      <c r="E144" s="243"/>
      <c r="F144" s="261"/>
      <c r="G144" s="243"/>
      <c r="H144" s="262"/>
      <c r="I144" s="243"/>
      <c r="J144" s="262"/>
      <c r="K144" s="88"/>
      <c r="L144" s="143">
        <f t="shared" si="23"/>
        <v>0</v>
      </c>
      <c r="N144" s="81"/>
      <c r="R144" s="79" t="str">
        <f t="shared" si="24"/>
        <v>NOT</v>
      </c>
      <c r="S144" s="79" t="str">
        <f t="shared" si="25"/>
        <v>NOT</v>
      </c>
      <c r="T144" s="79" t="str">
        <f t="shared" si="26"/>
        <v>NOT</v>
      </c>
      <c r="V144" s="79" t="str">
        <f t="shared" si="27"/>
        <v/>
      </c>
    </row>
    <row r="145" spans="1:22" x14ac:dyDescent="0.2">
      <c r="B145" s="259"/>
      <c r="C145" s="88"/>
      <c r="D145" s="260"/>
      <c r="E145" s="243"/>
      <c r="F145" s="261"/>
      <c r="G145" s="243"/>
      <c r="H145" s="262"/>
      <c r="I145" s="243"/>
      <c r="J145" s="262"/>
      <c r="K145" s="88"/>
      <c r="L145" s="143">
        <f t="shared" si="23"/>
        <v>0</v>
      </c>
      <c r="N145" s="81"/>
      <c r="R145" s="79" t="str">
        <f t="shared" si="24"/>
        <v>NOT</v>
      </c>
      <c r="S145" s="79" t="str">
        <f t="shared" si="25"/>
        <v>NOT</v>
      </c>
      <c r="T145" s="79" t="str">
        <f t="shared" si="26"/>
        <v>NOT</v>
      </c>
      <c r="V145" s="79" t="str">
        <f t="shared" si="27"/>
        <v/>
      </c>
    </row>
    <row r="146" spans="1:22" x14ac:dyDescent="0.2">
      <c r="B146" s="259"/>
      <c r="C146" s="88"/>
      <c r="D146" s="260"/>
      <c r="E146" s="243"/>
      <c r="F146" s="261"/>
      <c r="G146" s="243"/>
      <c r="H146" s="262"/>
      <c r="I146" s="243"/>
      <c r="J146" s="262"/>
      <c r="K146" s="88"/>
      <c r="L146" s="143">
        <f t="shared" si="23"/>
        <v>0</v>
      </c>
      <c r="N146" s="81"/>
      <c r="R146" s="79" t="str">
        <f t="shared" si="24"/>
        <v>NOT</v>
      </c>
      <c r="S146" s="79" t="str">
        <f t="shared" si="25"/>
        <v>NOT</v>
      </c>
      <c r="T146" s="79" t="str">
        <f t="shared" si="26"/>
        <v>NOT</v>
      </c>
      <c r="V146" s="79" t="str">
        <f t="shared" si="27"/>
        <v/>
      </c>
    </row>
    <row r="147" spans="1:22" s="76" customFormat="1" x14ac:dyDescent="0.2">
      <c r="A147" s="87"/>
      <c r="B147" s="88"/>
      <c r="C147" s="88"/>
      <c r="D147" s="70"/>
      <c r="E147" s="70"/>
      <c r="F147" s="70"/>
      <c r="G147" s="70"/>
      <c r="H147" s="70"/>
      <c r="I147" s="70"/>
      <c r="J147" s="70"/>
      <c r="K147" s="88"/>
      <c r="L147" s="70"/>
      <c r="M147" s="70"/>
      <c r="N147" s="70"/>
      <c r="O147" s="89"/>
      <c r="V147" s="79"/>
    </row>
    <row r="148" spans="1:22" ht="28.5" customHeight="1" x14ac:dyDescent="0.2">
      <c r="A148" s="276"/>
      <c r="B148" s="278" t="s">
        <v>293</v>
      </c>
      <c r="C148" s="277"/>
      <c r="D148" s="747" t="s">
        <v>166</v>
      </c>
      <c r="E148" s="748"/>
      <c r="F148" s="748"/>
      <c r="G148" s="748"/>
      <c r="H148" s="748"/>
      <c r="I148" s="279"/>
      <c r="J148" s="280" t="s">
        <v>18</v>
      </c>
      <c r="K148" s="88"/>
      <c r="L148" s="156">
        <f>SUM(L155:L160)</f>
        <v>0</v>
      </c>
      <c r="M148" s="246"/>
      <c r="N148" s="147">
        <f>IF(L148=0,0%,L148/L$8)</f>
        <v>0</v>
      </c>
      <c r="O148" s="495">
        <f>IF(LEN(R148)&gt;3,1,0)</f>
        <v>0</v>
      </c>
      <c r="R148" s="79" t="str">
        <f>IF(AND(R154="NOT",S154="NOT",T154="NOT"),"NOT",D148)</f>
        <v>NOT</v>
      </c>
    </row>
    <row r="149" spans="1:22" s="76" customFormat="1" ht="3" customHeight="1" x14ac:dyDescent="0.2">
      <c r="A149" s="87"/>
      <c r="B149" s="788"/>
      <c r="C149" s="789"/>
      <c r="D149" s="789"/>
      <c r="E149" s="789"/>
      <c r="F149" s="789"/>
      <c r="G149" s="789"/>
      <c r="H149" s="789"/>
      <c r="I149" s="789"/>
      <c r="J149" s="789"/>
      <c r="K149" s="789"/>
      <c r="L149" s="789"/>
      <c r="M149" s="70"/>
      <c r="N149" s="70"/>
      <c r="O149" s="353"/>
      <c r="P149" s="270"/>
      <c r="Q149" s="231" t="str">
        <f>IF(N148&gt;O149,B149,"")</f>
        <v/>
      </c>
      <c r="V149" s="79"/>
    </row>
    <row r="150" spans="1:22" x14ac:dyDescent="0.2">
      <c r="B150" s="742" t="s">
        <v>197</v>
      </c>
      <c r="C150" s="743"/>
      <c r="D150" s="743"/>
      <c r="E150" s="743"/>
      <c r="F150" s="743"/>
      <c r="H150" s="81"/>
      <c r="J150" s="81"/>
      <c r="K150" s="88"/>
      <c r="L150" s="81"/>
      <c r="N150" s="227"/>
      <c r="R150" s="79" t="str">
        <f>IF(AND(($L148&gt;0),ISBLANK(B152)),B150,"NOT")</f>
        <v>NOT</v>
      </c>
    </row>
    <row r="151" spans="1:22" ht="3" customHeight="1" x14ac:dyDescent="0.2">
      <c r="B151" s="104"/>
      <c r="C151" s="88"/>
      <c r="D151" s="81"/>
      <c r="F151" s="81"/>
      <c r="H151" s="81"/>
      <c r="J151" s="81"/>
      <c r="K151" s="88"/>
      <c r="L151" s="81"/>
      <c r="N151" s="227"/>
    </row>
    <row r="152" spans="1:22" ht="60" customHeight="1" x14ac:dyDescent="0.2">
      <c r="B152" s="744"/>
      <c r="C152" s="745"/>
      <c r="D152" s="745"/>
      <c r="E152" s="745"/>
      <c r="F152" s="745"/>
      <c r="G152" s="745"/>
      <c r="H152" s="745"/>
      <c r="I152" s="745"/>
      <c r="J152" s="745"/>
      <c r="K152" s="745"/>
      <c r="L152" s="746"/>
      <c r="M152" s="70" t="s">
        <v>19</v>
      </c>
      <c r="N152" s="227"/>
    </row>
    <row r="153" spans="1:22" ht="3.75" customHeight="1" x14ac:dyDescent="0.2">
      <c r="B153" s="104"/>
      <c r="C153" s="88"/>
      <c r="D153" s="81"/>
      <c r="F153" s="81"/>
      <c r="H153" s="81"/>
      <c r="J153" s="81"/>
      <c r="K153" s="88"/>
      <c r="L153" s="81"/>
      <c r="N153" s="227"/>
    </row>
    <row r="154" spans="1:22" ht="25.5" x14ac:dyDescent="0.2">
      <c r="B154" s="244" t="s">
        <v>202</v>
      </c>
      <c r="C154" s="88"/>
      <c r="D154" s="244" t="s">
        <v>580</v>
      </c>
      <c r="F154" s="244" t="s">
        <v>205</v>
      </c>
      <c r="H154" s="244" t="s">
        <v>16</v>
      </c>
      <c r="J154" s="244" t="s">
        <v>15</v>
      </c>
      <c r="K154" s="245"/>
      <c r="L154" s="103" t="s">
        <v>141</v>
      </c>
      <c r="N154" s="81"/>
      <c r="R154" s="255" t="str">
        <f>IF(AND(R155="NOT",R156="NOT",R157="NOT",R158="NOT",R159="NOT",R160="NOT",R150="NOT"),"NOT",D148)</f>
        <v>NOT</v>
      </c>
      <c r="S154" s="255" t="str">
        <f>IF(AND(S155="NOT",S156="NOT",S157="NOT",S158="NOT",S159="NOT",S160="NOT",R150="NOT"),"NOT",D148)</f>
        <v>NOT</v>
      </c>
      <c r="T154" s="255" t="str">
        <f>IF(AND(T155="NOT",T156="NOT",T157="NOT",T158="NOT",T159="NOT",T160="NOT",R150="NOT"),"NOT",D148)</f>
        <v>NOT</v>
      </c>
    </row>
    <row r="155" spans="1:22" x14ac:dyDescent="0.2">
      <c r="B155" s="259"/>
      <c r="C155" s="88"/>
      <c r="D155" s="260"/>
      <c r="E155" s="243"/>
      <c r="F155" s="261"/>
      <c r="G155" s="243"/>
      <c r="H155" s="262"/>
      <c r="I155" s="243"/>
      <c r="J155" s="262"/>
      <c r="K155" s="88"/>
      <c r="L155" s="143">
        <f t="shared" ref="L155:L160" si="28">TRUNC(H155*J155,2)</f>
        <v>0</v>
      </c>
      <c r="N155" s="81"/>
      <c r="R155" s="79" t="str">
        <f t="shared" ref="R155:R160" si="29">IF(AND(($L155&gt;0),ISBLANK(B155)),B155,"NOT")</f>
        <v>NOT</v>
      </c>
      <c r="S155" s="79" t="str">
        <f t="shared" ref="S155:S160" si="30">IF(AND(($L155&gt;0),ISBLANK(D155)),D155,"NOT")</f>
        <v>NOT</v>
      </c>
      <c r="T155" s="79" t="str">
        <f t="shared" ref="T155:T160" si="31">IF(AND(($L155&gt;0),ISBLANK(F155)),F155,"NOT")</f>
        <v>NOT</v>
      </c>
      <c r="V155" s="79" t="str">
        <f t="shared" si="27"/>
        <v/>
      </c>
    </row>
    <row r="156" spans="1:22" x14ac:dyDescent="0.2">
      <c r="B156" s="259"/>
      <c r="C156" s="88"/>
      <c r="D156" s="260"/>
      <c r="E156" s="243"/>
      <c r="F156" s="261"/>
      <c r="G156" s="243"/>
      <c r="H156" s="262"/>
      <c r="I156" s="243"/>
      <c r="J156" s="262"/>
      <c r="K156" s="88"/>
      <c r="L156" s="143">
        <f t="shared" si="28"/>
        <v>0</v>
      </c>
      <c r="N156" s="81"/>
      <c r="R156" s="79" t="str">
        <f t="shared" si="29"/>
        <v>NOT</v>
      </c>
      <c r="S156" s="79" t="str">
        <f t="shared" si="30"/>
        <v>NOT</v>
      </c>
      <c r="T156" s="79" t="str">
        <f t="shared" si="31"/>
        <v>NOT</v>
      </c>
      <c r="V156" s="79" t="str">
        <f t="shared" si="27"/>
        <v/>
      </c>
    </row>
    <row r="157" spans="1:22" x14ac:dyDescent="0.2">
      <c r="B157" s="259"/>
      <c r="C157" s="88"/>
      <c r="D157" s="260"/>
      <c r="E157" s="243"/>
      <c r="F157" s="261"/>
      <c r="G157" s="243"/>
      <c r="H157" s="262"/>
      <c r="I157" s="243"/>
      <c r="J157" s="262"/>
      <c r="K157" s="88"/>
      <c r="L157" s="143">
        <f t="shared" si="28"/>
        <v>0</v>
      </c>
      <c r="N157" s="81"/>
      <c r="R157" s="79" t="str">
        <f t="shared" si="29"/>
        <v>NOT</v>
      </c>
      <c r="S157" s="79" t="str">
        <f t="shared" si="30"/>
        <v>NOT</v>
      </c>
      <c r="T157" s="79" t="str">
        <f t="shared" si="31"/>
        <v>NOT</v>
      </c>
      <c r="V157" s="79" t="str">
        <f t="shared" si="27"/>
        <v/>
      </c>
    </row>
    <row r="158" spans="1:22" x14ac:dyDescent="0.2">
      <c r="B158" s="259"/>
      <c r="C158" s="88"/>
      <c r="D158" s="260"/>
      <c r="E158" s="243"/>
      <c r="F158" s="261"/>
      <c r="G158" s="243"/>
      <c r="H158" s="262"/>
      <c r="I158" s="243"/>
      <c r="J158" s="262"/>
      <c r="K158" s="88"/>
      <c r="L158" s="143">
        <f t="shared" si="28"/>
        <v>0</v>
      </c>
      <c r="N158" s="81"/>
      <c r="R158" s="79" t="str">
        <f t="shared" si="29"/>
        <v>NOT</v>
      </c>
      <c r="S158" s="79" t="str">
        <f t="shared" si="30"/>
        <v>NOT</v>
      </c>
      <c r="T158" s="79" t="str">
        <f t="shared" si="31"/>
        <v>NOT</v>
      </c>
      <c r="V158" s="79" t="str">
        <f t="shared" si="27"/>
        <v/>
      </c>
    </row>
    <row r="159" spans="1:22" x14ac:dyDescent="0.2">
      <c r="B159" s="259"/>
      <c r="C159" s="88"/>
      <c r="D159" s="260"/>
      <c r="E159" s="243"/>
      <c r="F159" s="261"/>
      <c r="G159" s="243"/>
      <c r="H159" s="262"/>
      <c r="I159" s="243"/>
      <c r="J159" s="262"/>
      <c r="K159" s="88"/>
      <c r="L159" s="143">
        <f t="shared" si="28"/>
        <v>0</v>
      </c>
      <c r="N159" s="81"/>
      <c r="R159" s="79" t="str">
        <f t="shared" si="29"/>
        <v>NOT</v>
      </c>
      <c r="S159" s="79" t="str">
        <f t="shared" si="30"/>
        <v>NOT</v>
      </c>
      <c r="T159" s="79" t="str">
        <f t="shared" si="31"/>
        <v>NOT</v>
      </c>
      <c r="V159" s="79" t="str">
        <f t="shared" si="27"/>
        <v/>
      </c>
    </row>
    <row r="160" spans="1:22" x14ac:dyDescent="0.2">
      <c r="B160" s="259"/>
      <c r="C160" s="88"/>
      <c r="D160" s="260"/>
      <c r="E160" s="243"/>
      <c r="F160" s="261"/>
      <c r="G160" s="243"/>
      <c r="H160" s="262"/>
      <c r="I160" s="243"/>
      <c r="J160" s="262"/>
      <c r="K160" s="88"/>
      <c r="L160" s="143">
        <f t="shared" si="28"/>
        <v>0</v>
      </c>
      <c r="N160" s="81"/>
      <c r="R160" s="79" t="str">
        <f t="shared" si="29"/>
        <v>NOT</v>
      </c>
      <c r="S160" s="79" t="str">
        <f t="shared" si="30"/>
        <v>NOT</v>
      </c>
      <c r="T160" s="79" t="str">
        <f t="shared" si="31"/>
        <v>NOT</v>
      </c>
      <c r="V160" s="79" t="str">
        <f t="shared" si="27"/>
        <v/>
      </c>
    </row>
    <row r="161" spans="1:22" s="76" customFormat="1" ht="12.75" customHeight="1" x14ac:dyDescent="0.2">
      <c r="A161" s="87"/>
      <c r="B161" s="88"/>
      <c r="C161" s="88"/>
      <c r="D161" s="70"/>
      <c r="E161" s="70"/>
      <c r="F161" s="70"/>
      <c r="G161" s="70"/>
      <c r="H161" s="70"/>
      <c r="I161" s="70"/>
      <c r="J161" s="70"/>
      <c r="K161" s="88"/>
      <c r="L161" s="70"/>
      <c r="M161" s="70"/>
      <c r="N161" s="70"/>
      <c r="O161" s="89"/>
      <c r="V161" s="79"/>
    </row>
    <row r="162" spans="1:22" ht="28.5" customHeight="1" x14ac:dyDescent="0.2">
      <c r="A162" s="276"/>
      <c r="B162" s="278" t="s">
        <v>294</v>
      </c>
      <c r="C162" s="277"/>
      <c r="D162" s="747" t="s">
        <v>166</v>
      </c>
      <c r="E162" s="748"/>
      <c r="F162" s="748"/>
      <c r="G162" s="748"/>
      <c r="H162" s="748"/>
      <c r="I162" s="279"/>
      <c r="J162" s="280" t="s">
        <v>18</v>
      </c>
      <c r="K162" s="88"/>
      <c r="L162" s="156">
        <f>SUM(L169:L172)</f>
        <v>0</v>
      </c>
      <c r="M162" s="246"/>
      <c r="N162" s="147">
        <f>IF(L162=0,0%,L162/L$8)</f>
        <v>0</v>
      </c>
      <c r="O162" s="495">
        <f>IF(LEN(R162)&gt;3,1,0)</f>
        <v>0</v>
      </c>
      <c r="R162" s="79" t="str">
        <f>IF(AND(R168="NOT",S168="NOT",T168="NOT"),"NOT",D162)</f>
        <v>NOT</v>
      </c>
    </row>
    <row r="163" spans="1:22" s="76" customFormat="1" ht="3" customHeight="1" x14ac:dyDescent="0.2">
      <c r="A163" s="87"/>
      <c r="B163" s="88"/>
      <c r="C163" s="88"/>
      <c r="D163" s="70"/>
      <c r="E163" s="70"/>
      <c r="F163" s="70"/>
      <c r="G163" s="70"/>
      <c r="H163" s="70"/>
      <c r="I163" s="70"/>
      <c r="J163" s="70"/>
      <c r="K163" s="88"/>
      <c r="L163" s="70"/>
      <c r="M163" s="70"/>
      <c r="N163" s="70"/>
      <c r="O163" s="89"/>
      <c r="V163" s="79"/>
    </row>
    <row r="164" spans="1:22" x14ac:dyDescent="0.2">
      <c r="B164" s="742" t="s">
        <v>197</v>
      </c>
      <c r="C164" s="743"/>
      <c r="D164" s="743"/>
      <c r="E164" s="743"/>
      <c r="F164" s="743"/>
      <c r="H164" s="81"/>
      <c r="J164" s="81"/>
      <c r="K164" s="88"/>
      <c r="L164" s="81"/>
      <c r="N164" s="227"/>
      <c r="R164" s="79" t="str">
        <f>IF(AND(($L162&gt;0),ISBLANK(B166)),B164,"NOT")</f>
        <v>NOT</v>
      </c>
    </row>
    <row r="165" spans="1:22" ht="3" customHeight="1" x14ac:dyDescent="0.2">
      <c r="B165" s="104"/>
      <c r="C165" s="88"/>
      <c r="D165" s="81"/>
      <c r="F165" s="81"/>
      <c r="H165" s="81"/>
      <c r="J165" s="81"/>
      <c r="K165" s="88"/>
      <c r="L165" s="81"/>
      <c r="N165" s="227"/>
    </row>
    <row r="166" spans="1:22" ht="50.25" customHeight="1" x14ac:dyDescent="0.2">
      <c r="B166" s="744"/>
      <c r="C166" s="745"/>
      <c r="D166" s="745"/>
      <c r="E166" s="745"/>
      <c r="F166" s="745"/>
      <c r="G166" s="745"/>
      <c r="H166" s="745"/>
      <c r="I166" s="745"/>
      <c r="J166" s="745"/>
      <c r="K166" s="745"/>
      <c r="L166" s="746"/>
      <c r="M166" s="70" t="s">
        <v>19</v>
      </c>
      <c r="N166" s="227"/>
    </row>
    <row r="167" spans="1:22" ht="3.75" customHeight="1" x14ac:dyDescent="0.2">
      <c r="B167" s="104"/>
      <c r="C167" s="88"/>
      <c r="D167" s="81"/>
      <c r="F167" s="81"/>
      <c r="H167" s="81"/>
      <c r="J167" s="81"/>
      <c r="K167" s="88"/>
      <c r="L167" s="81"/>
      <c r="N167" s="227"/>
    </row>
    <row r="168" spans="1:22" ht="12.75" customHeight="1" x14ac:dyDescent="0.2">
      <c r="B168" s="244" t="s">
        <v>17</v>
      </c>
      <c r="C168" s="88"/>
      <c r="D168" s="244" t="s">
        <v>580</v>
      </c>
      <c r="F168" s="244" t="s">
        <v>205</v>
      </c>
      <c r="H168" s="244" t="s">
        <v>16</v>
      </c>
      <c r="J168" s="244" t="s">
        <v>15</v>
      </c>
      <c r="K168" s="245"/>
      <c r="L168" s="103" t="s">
        <v>141</v>
      </c>
      <c r="N168" s="81"/>
      <c r="R168" s="255" t="str">
        <f>IF(AND(R169="NOT",R170="NOT",R171="NOT",R172="NOT",R164="NOT"),"NOT",D162)</f>
        <v>NOT</v>
      </c>
      <c r="S168" s="255" t="str">
        <f>IF(AND(S169="NOT",S170="NOT",S171="NOT",S172="NOT",R164="NOT"),"NOT",D162)</f>
        <v>NOT</v>
      </c>
      <c r="T168" s="255" t="str">
        <f>IF(AND(T169="NOT",T170="NOT",T171="NOT",T172="NOT",R164="NOT"),"NOT",D162)</f>
        <v>NOT</v>
      </c>
    </row>
    <row r="169" spans="1:22" x14ac:dyDescent="0.2">
      <c r="B169" s="259"/>
      <c r="C169" s="88"/>
      <c r="D169" s="260"/>
      <c r="E169" s="243"/>
      <c r="F169" s="261"/>
      <c r="G169" s="243"/>
      <c r="H169" s="262"/>
      <c r="I169" s="243"/>
      <c r="J169" s="262"/>
      <c r="K169" s="88"/>
      <c r="L169" s="143">
        <f>TRUNC(H169*J169,2)</f>
        <v>0</v>
      </c>
      <c r="N169" s="81"/>
      <c r="R169" s="79" t="str">
        <f>IF(AND(($L169&gt;0),ISBLANK(B169)),B169,"NOT")</f>
        <v>NOT</v>
      </c>
      <c r="S169" s="79" t="str">
        <f>IF(AND(($L169&gt;0),ISBLANK(D169)),D169,"NOT")</f>
        <v>NOT</v>
      </c>
      <c r="T169" s="79" t="str">
        <f>IF(AND(($L169&gt;0),ISBLANK(F169)),F169,"NOT")</f>
        <v>NOT</v>
      </c>
      <c r="V169" s="79" t="str">
        <f>LEFT(D169,3)</f>
        <v/>
      </c>
    </row>
    <row r="170" spans="1:22" x14ac:dyDescent="0.2">
      <c r="B170" s="259"/>
      <c r="C170" s="88"/>
      <c r="D170" s="260"/>
      <c r="E170" s="243"/>
      <c r="F170" s="261"/>
      <c r="G170" s="243"/>
      <c r="H170" s="262"/>
      <c r="I170" s="243"/>
      <c r="J170" s="262"/>
      <c r="K170" s="88"/>
      <c r="L170" s="143">
        <f>TRUNC(H170*J170,2)</f>
        <v>0</v>
      </c>
      <c r="N170" s="81"/>
      <c r="R170" s="79" t="str">
        <f>IF(AND(($L170&gt;0),ISBLANK(B170)),B170,"NOT")</f>
        <v>NOT</v>
      </c>
      <c r="S170" s="79" t="str">
        <f>IF(AND(($L170&gt;0),ISBLANK(D170)),D170,"NOT")</f>
        <v>NOT</v>
      </c>
      <c r="T170" s="79" t="str">
        <f>IF(AND(($L170&gt;0),ISBLANK(F170)),F170,"NOT")</f>
        <v>NOT</v>
      </c>
      <c r="V170" s="79" t="str">
        <f>LEFT(D170,3)</f>
        <v/>
      </c>
    </row>
    <row r="171" spans="1:22" x14ac:dyDescent="0.2">
      <c r="B171" s="259"/>
      <c r="C171" s="88"/>
      <c r="D171" s="260"/>
      <c r="E171" s="243"/>
      <c r="F171" s="261"/>
      <c r="G171" s="243"/>
      <c r="H171" s="262"/>
      <c r="I171" s="243"/>
      <c r="J171" s="262"/>
      <c r="K171" s="88"/>
      <c r="L171" s="143">
        <f>TRUNC(H171*J171,2)</f>
        <v>0</v>
      </c>
      <c r="N171" s="81"/>
      <c r="R171" s="79" t="str">
        <f>IF(AND(($L171&gt;0),ISBLANK(B171)),B171,"NOT")</f>
        <v>NOT</v>
      </c>
      <c r="S171" s="79" t="str">
        <f>IF(AND(($L171&gt;0),ISBLANK(D171)),D171,"NOT")</f>
        <v>NOT</v>
      </c>
      <c r="T171" s="79" t="str">
        <f>IF(AND(($L171&gt;0),ISBLANK(F171)),F171,"NOT")</f>
        <v>NOT</v>
      </c>
      <c r="V171" s="79" t="str">
        <f>LEFT(D171,3)</f>
        <v/>
      </c>
    </row>
    <row r="172" spans="1:22" x14ac:dyDescent="0.2">
      <c r="B172" s="259"/>
      <c r="C172" s="88"/>
      <c r="D172" s="260"/>
      <c r="E172" s="243"/>
      <c r="F172" s="261"/>
      <c r="G172" s="243"/>
      <c r="H172" s="262"/>
      <c r="I172" s="243"/>
      <c r="J172" s="262"/>
      <c r="K172" s="88"/>
      <c r="L172" s="143">
        <f>TRUNC(H172*J172,2)</f>
        <v>0</v>
      </c>
      <c r="N172" s="81"/>
      <c r="R172" s="79" t="str">
        <f>IF(AND(($L172&gt;0),ISBLANK(B172)),B172,"NOT")</f>
        <v>NOT</v>
      </c>
      <c r="S172" s="79" t="str">
        <f>IF(AND(($L172&gt;0),ISBLANK(D172)),D172,"NOT")</f>
        <v>NOT</v>
      </c>
      <c r="T172" s="79" t="str">
        <f>IF(AND(($L172&gt;0),ISBLANK(F172)),F172,"NOT")</f>
        <v>NOT</v>
      </c>
      <c r="V172" s="79" t="str">
        <f>LEFT(D172,3)</f>
        <v/>
      </c>
    </row>
    <row r="173" spans="1:22" s="76" customFormat="1" ht="12.75" customHeight="1" x14ac:dyDescent="0.2">
      <c r="A173" s="87"/>
      <c r="B173" s="88"/>
      <c r="C173" s="88"/>
      <c r="D173" s="70"/>
      <c r="E173" s="70"/>
      <c r="F173" s="70"/>
      <c r="G173" s="70"/>
      <c r="H173" s="70"/>
      <c r="I173" s="70"/>
      <c r="J173" s="70"/>
      <c r="K173" s="88"/>
      <c r="L173" s="70"/>
      <c r="M173" s="70"/>
      <c r="N173" s="70"/>
      <c r="O173" s="89"/>
      <c r="V173" s="79"/>
    </row>
    <row r="174" spans="1:22" ht="25.5" x14ac:dyDescent="0.2">
      <c r="A174" s="276"/>
      <c r="B174" s="278" t="s">
        <v>296</v>
      </c>
      <c r="C174" s="277"/>
      <c r="D174" s="747" t="s">
        <v>166</v>
      </c>
      <c r="E174" s="748"/>
      <c r="F174" s="748"/>
      <c r="G174" s="748"/>
      <c r="H174" s="748"/>
      <c r="I174" s="279"/>
      <c r="J174" s="280" t="s">
        <v>18</v>
      </c>
      <c r="K174" s="88"/>
      <c r="L174" s="156">
        <f>SUM(L181:L190)</f>
        <v>0</v>
      </c>
      <c r="M174" s="246"/>
      <c r="N174" s="147">
        <f>IF(L174=0,0%,L174/L$8)</f>
        <v>0</v>
      </c>
      <c r="O174" s="495">
        <f>IF(LEN(R174)&gt;3,1,0)</f>
        <v>0</v>
      </c>
      <c r="R174" s="79" t="str">
        <f>IF(AND(R180="NOT",S180="NOT",T180="NOT"),"NOT",D174)</f>
        <v>NOT</v>
      </c>
    </row>
    <row r="175" spans="1:22" s="76" customFormat="1" ht="3" customHeight="1" x14ac:dyDescent="0.2">
      <c r="A175" s="87"/>
      <c r="B175" s="88"/>
      <c r="C175" s="88"/>
      <c r="D175" s="70"/>
      <c r="E175" s="70"/>
      <c r="F175" s="70"/>
      <c r="G175" s="70"/>
      <c r="H175" s="70"/>
      <c r="I175" s="70"/>
      <c r="J175" s="70"/>
      <c r="K175" s="88"/>
      <c r="L175" s="70"/>
      <c r="M175" s="70"/>
      <c r="N175" s="70"/>
      <c r="O175" s="89"/>
      <c r="V175" s="79"/>
    </row>
    <row r="176" spans="1:22" ht="27.75" customHeight="1" x14ac:dyDescent="0.2">
      <c r="B176" s="749" t="s">
        <v>38</v>
      </c>
      <c r="C176" s="750"/>
      <c r="D176" s="750"/>
      <c r="E176" s="750"/>
      <c r="F176" s="750"/>
      <c r="H176" s="81"/>
      <c r="J176" s="81"/>
      <c r="K176" s="88"/>
      <c r="L176" s="81"/>
      <c r="N176" s="227"/>
      <c r="R176" s="79" t="str">
        <f>IF(AND(($L174&gt;0),ISBLANK(B178)),B176,"NOT")</f>
        <v>NOT</v>
      </c>
    </row>
    <row r="177" spans="1:22" ht="3" customHeight="1" x14ac:dyDescent="0.2">
      <c r="B177" s="104"/>
      <c r="C177" s="88"/>
      <c r="D177" s="81"/>
      <c r="F177" s="81"/>
      <c r="H177" s="81"/>
      <c r="J177" s="81"/>
      <c r="K177" s="88"/>
      <c r="L177" s="81"/>
      <c r="N177" s="227"/>
    </row>
    <row r="178" spans="1:22" ht="81" customHeight="1" x14ac:dyDescent="0.2">
      <c r="B178" s="744"/>
      <c r="C178" s="745"/>
      <c r="D178" s="745"/>
      <c r="E178" s="745"/>
      <c r="F178" s="745"/>
      <c r="G178" s="745"/>
      <c r="H178" s="745"/>
      <c r="I178" s="745"/>
      <c r="J178" s="745"/>
      <c r="K178" s="745"/>
      <c r="L178" s="746"/>
      <c r="M178" s="70" t="s">
        <v>19</v>
      </c>
      <c r="N178" s="227"/>
    </row>
    <row r="179" spans="1:22" ht="3.75" customHeight="1" x14ac:dyDescent="0.2">
      <c r="B179" s="104"/>
      <c r="C179" s="88"/>
      <c r="D179" s="81"/>
      <c r="F179" s="81"/>
      <c r="H179" s="81"/>
      <c r="J179" s="81"/>
      <c r="K179" s="88"/>
      <c r="L179" s="81"/>
      <c r="N179" s="227"/>
    </row>
    <row r="180" spans="1:22" ht="38.25" x14ac:dyDescent="0.2">
      <c r="B180" s="244" t="s">
        <v>23</v>
      </c>
      <c r="C180" s="88"/>
      <c r="D180" s="244" t="s">
        <v>580</v>
      </c>
      <c r="F180" s="244" t="s">
        <v>205</v>
      </c>
      <c r="H180" s="244" t="s">
        <v>16</v>
      </c>
      <c r="J180" s="244" t="s">
        <v>15</v>
      </c>
      <c r="K180" s="245"/>
      <c r="L180" s="103" t="s">
        <v>141</v>
      </c>
      <c r="N180" s="81"/>
      <c r="R180" s="255" t="str">
        <f>IF(AND(R181="NOT",R182="NOT",R183="NOT",R184="NOT",R185="NOT",R186="NOT",R187="NOT",R188="NOT",R189="NOT",R190="NOT",R176="NOT"),"NOT",D174)</f>
        <v>NOT</v>
      </c>
      <c r="S180" s="255" t="str">
        <f>IF(AND(S181="NOT",S182="NOT",S183="NOT",S184="NOT",S185="NOT",S186="NOT",S187="NOT",S188="NOT",S189="NOT",S190="NOT",R176="NOT"),"NOT",D174)</f>
        <v>NOT</v>
      </c>
      <c r="T180" s="255" t="str">
        <f>IF(AND(T181="NOT",T182="NOT",T183="NOT",T184="NOT",T185="NOT",T186="NOT",T187="NOT",T188="NOT",T189="NOT",T190="NOT",R176="NOT"),"NOT",D174)</f>
        <v>NOT</v>
      </c>
    </row>
    <row r="181" spans="1:22" x14ac:dyDescent="0.2">
      <c r="B181" s="259"/>
      <c r="C181" s="88"/>
      <c r="D181" s="260"/>
      <c r="E181" s="243"/>
      <c r="F181" s="261"/>
      <c r="G181" s="243"/>
      <c r="H181" s="262"/>
      <c r="I181" s="243"/>
      <c r="J181" s="262"/>
      <c r="K181" s="88"/>
      <c r="L181" s="143">
        <f t="shared" ref="L181:L190" si="32">TRUNC(H181*J181,2)</f>
        <v>0</v>
      </c>
      <c r="N181" s="81"/>
      <c r="R181" s="79" t="str">
        <f t="shared" ref="R181:R190" si="33">IF(AND(($L181&gt;0),ISBLANK(B181)),B181,"NOT")</f>
        <v>NOT</v>
      </c>
      <c r="S181" s="79" t="str">
        <f t="shared" ref="S181:S190" si="34">IF(AND(($L181&gt;0),ISBLANK(D181)),D181,"NOT")</f>
        <v>NOT</v>
      </c>
      <c r="T181" s="79" t="str">
        <f t="shared" ref="T181:T190" si="35">IF(AND(($L181&gt;0),ISBLANK(F181)),F181,"NOT")</f>
        <v>NOT</v>
      </c>
      <c r="V181" s="79" t="str">
        <f t="shared" ref="V181:V190" si="36">LEFT(D181,3)</f>
        <v/>
      </c>
    </row>
    <row r="182" spans="1:22" x14ac:dyDescent="0.2">
      <c r="B182" s="259"/>
      <c r="C182" s="88"/>
      <c r="D182" s="260"/>
      <c r="E182" s="243"/>
      <c r="F182" s="261"/>
      <c r="G182" s="243"/>
      <c r="H182" s="262"/>
      <c r="I182" s="243"/>
      <c r="J182" s="262"/>
      <c r="K182" s="88"/>
      <c r="L182" s="143">
        <f t="shared" si="32"/>
        <v>0</v>
      </c>
      <c r="N182" s="81"/>
      <c r="R182" s="79" t="str">
        <f t="shared" si="33"/>
        <v>NOT</v>
      </c>
      <c r="S182" s="79" t="str">
        <f t="shared" si="34"/>
        <v>NOT</v>
      </c>
      <c r="T182" s="79" t="str">
        <f t="shared" si="35"/>
        <v>NOT</v>
      </c>
      <c r="V182" s="79" t="str">
        <f t="shared" si="36"/>
        <v/>
      </c>
    </row>
    <row r="183" spans="1:22" x14ac:dyDescent="0.2">
      <c r="B183" s="259"/>
      <c r="C183" s="88"/>
      <c r="D183" s="260"/>
      <c r="E183" s="243"/>
      <c r="F183" s="261"/>
      <c r="G183" s="243"/>
      <c r="H183" s="262"/>
      <c r="I183" s="243"/>
      <c r="J183" s="262"/>
      <c r="K183" s="88"/>
      <c r="L183" s="143">
        <f t="shared" si="32"/>
        <v>0</v>
      </c>
      <c r="N183" s="81"/>
      <c r="R183" s="79" t="str">
        <f t="shared" si="33"/>
        <v>NOT</v>
      </c>
      <c r="S183" s="79" t="str">
        <f t="shared" si="34"/>
        <v>NOT</v>
      </c>
      <c r="T183" s="79" t="str">
        <f t="shared" si="35"/>
        <v>NOT</v>
      </c>
      <c r="V183" s="79" t="str">
        <f t="shared" si="36"/>
        <v/>
      </c>
    </row>
    <row r="184" spans="1:22" x14ac:dyDescent="0.2">
      <c r="B184" s="259"/>
      <c r="C184" s="88"/>
      <c r="D184" s="260"/>
      <c r="E184" s="243"/>
      <c r="F184" s="261"/>
      <c r="G184" s="243"/>
      <c r="H184" s="262"/>
      <c r="I184" s="243"/>
      <c r="J184" s="262"/>
      <c r="K184" s="88"/>
      <c r="L184" s="143">
        <f t="shared" si="32"/>
        <v>0</v>
      </c>
      <c r="N184" s="81"/>
      <c r="R184" s="79" t="str">
        <f t="shared" si="33"/>
        <v>NOT</v>
      </c>
      <c r="S184" s="79" t="str">
        <f t="shared" si="34"/>
        <v>NOT</v>
      </c>
      <c r="T184" s="79" t="str">
        <f t="shared" si="35"/>
        <v>NOT</v>
      </c>
      <c r="V184" s="79" t="str">
        <f t="shared" si="36"/>
        <v/>
      </c>
    </row>
    <row r="185" spans="1:22" x14ac:dyDescent="0.2">
      <c r="B185" s="259"/>
      <c r="C185" s="88"/>
      <c r="D185" s="260"/>
      <c r="E185" s="243"/>
      <c r="F185" s="261"/>
      <c r="G185" s="243"/>
      <c r="H185" s="262"/>
      <c r="I185" s="243"/>
      <c r="J185" s="262"/>
      <c r="K185" s="88"/>
      <c r="L185" s="143">
        <f t="shared" si="32"/>
        <v>0</v>
      </c>
      <c r="N185" s="81"/>
      <c r="R185" s="79" t="str">
        <f t="shared" si="33"/>
        <v>NOT</v>
      </c>
      <c r="S185" s="79" t="str">
        <f t="shared" si="34"/>
        <v>NOT</v>
      </c>
      <c r="T185" s="79" t="str">
        <f t="shared" si="35"/>
        <v>NOT</v>
      </c>
      <c r="V185" s="79" t="str">
        <f t="shared" si="36"/>
        <v/>
      </c>
    </row>
    <row r="186" spans="1:22" x14ac:dyDescent="0.2">
      <c r="B186" s="259"/>
      <c r="C186" s="88"/>
      <c r="D186" s="260"/>
      <c r="E186" s="243"/>
      <c r="F186" s="261"/>
      <c r="G186" s="243"/>
      <c r="H186" s="262"/>
      <c r="I186" s="243"/>
      <c r="J186" s="262"/>
      <c r="K186" s="88"/>
      <c r="L186" s="143">
        <f t="shared" si="32"/>
        <v>0</v>
      </c>
      <c r="N186" s="81"/>
      <c r="R186" s="79" t="str">
        <f t="shared" si="33"/>
        <v>NOT</v>
      </c>
      <c r="S186" s="79" t="str">
        <f t="shared" si="34"/>
        <v>NOT</v>
      </c>
      <c r="T186" s="79" t="str">
        <f t="shared" si="35"/>
        <v>NOT</v>
      </c>
      <c r="V186" s="79" t="str">
        <f t="shared" si="36"/>
        <v/>
      </c>
    </row>
    <row r="187" spans="1:22" x14ac:dyDescent="0.2">
      <c r="B187" s="259"/>
      <c r="C187" s="88"/>
      <c r="D187" s="260"/>
      <c r="E187" s="243"/>
      <c r="F187" s="261"/>
      <c r="G187" s="243"/>
      <c r="H187" s="262"/>
      <c r="I187" s="243"/>
      <c r="J187" s="262"/>
      <c r="K187" s="88"/>
      <c r="L187" s="143">
        <f t="shared" si="32"/>
        <v>0</v>
      </c>
      <c r="N187" s="81"/>
      <c r="R187" s="79" t="str">
        <f t="shared" si="33"/>
        <v>NOT</v>
      </c>
      <c r="S187" s="79" t="str">
        <f t="shared" si="34"/>
        <v>NOT</v>
      </c>
      <c r="T187" s="79" t="str">
        <f t="shared" si="35"/>
        <v>NOT</v>
      </c>
      <c r="V187" s="79" t="str">
        <f t="shared" si="36"/>
        <v/>
      </c>
    </row>
    <row r="188" spans="1:22" x14ac:dyDescent="0.2">
      <c r="B188" s="259"/>
      <c r="C188" s="88"/>
      <c r="D188" s="260"/>
      <c r="E188" s="243"/>
      <c r="F188" s="261"/>
      <c r="G188" s="243"/>
      <c r="H188" s="262"/>
      <c r="I188" s="243"/>
      <c r="J188" s="262"/>
      <c r="K188" s="88"/>
      <c r="L188" s="143">
        <f t="shared" si="32"/>
        <v>0</v>
      </c>
      <c r="N188" s="81"/>
      <c r="R188" s="79" t="str">
        <f t="shared" si="33"/>
        <v>NOT</v>
      </c>
      <c r="S188" s="79" t="str">
        <f t="shared" si="34"/>
        <v>NOT</v>
      </c>
      <c r="T188" s="79" t="str">
        <f t="shared" si="35"/>
        <v>NOT</v>
      </c>
      <c r="V188" s="79" t="str">
        <f t="shared" si="36"/>
        <v/>
      </c>
    </row>
    <row r="189" spans="1:22" x14ac:dyDescent="0.2">
      <c r="B189" s="259"/>
      <c r="C189" s="88"/>
      <c r="D189" s="260"/>
      <c r="E189" s="243"/>
      <c r="F189" s="261"/>
      <c r="G189" s="243"/>
      <c r="H189" s="262"/>
      <c r="I189" s="243"/>
      <c r="J189" s="262"/>
      <c r="K189" s="88"/>
      <c r="L189" s="143">
        <f t="shared" si="32"/>
        <v>0</v>
      </c>
      <c r="N189" s="81"/>
      <c r="R189" s="79" t="str">
        <f t="shared" si="33"/>
        <v>NOT</v>
      </c>
      <c r="S189" s="79" t="str">
        <f t="shared" si="34"/>
        <v>NOT</v>
      </c>
      <c r="T189" s="79" t="str">
        <f t="shared" si="35"/>
        <v>NOT</v>
      </c>
      <c r="V189" s="79" t="str">
        <f t="shared" si="36"/>
        <v/>
      </c>
    </row>
    <row r="190" spans="1:22" x14ac:dyDescent="0.2">
      <c r="B190" s="259"/>
      <c r="C190" s="88"/>
      <c r="D190" s="260"/>
      <c r="E190" s="243"/>
      <c r="F190" s="261"/>
      <c r="G190" s="243"/>
      <c r="H190" s="262"/>
      <c r="I190" s="243"/>
      <c r="J190" s="262"/>
      <c r="K190" s="88"/>
      <c r="L190" s="143">
        <f t="shared" si="32"/>
        <v>0</v>
      </c>
      <c r="N190" s="81"/>
      <c r="R190" s="79" t="str">
        <f t="shared" si="33"/>
        <v>NOT</v>
      </c>
      <c r="S190" s="79" t="str">
        <f t="shared" si="34"/>
        <v>NOT</v>
      </c>
      <c r="T190" s="79" t="str">
        <f t="shared" si="35"/>
        <v>NOT</v>
      </c>
      <c r="V190" s="79" t="str">
        <f t="shared" si="36"/>
        <v/>
      </c>
    </row>
    <row r="191" spans="1:22" x14ac:dyDescent="0.2">
      <c r="B191" s="104"/>
      <c r="C191" s="88"/>
      <c r="D191" s="81"/>
      <c r="F191" s="81"/>
      <c r="H191" s="81"/>
      <c r="J191" s="81"/>
      <c r="K191" s="88"/>
      <c r="L191" s="81"/>
      <c r="N191" s="227"/>
    </row>
    <row r="192" spans="1:22" ht="13.5" customHeight="1" x14ac:dyDescent="0.2">
      <c r="A192" s="276"/>
      <c r="B192" s="278" t="s">
        <v>297</v>
      </c>
      <c r="C192" s="277"/>
      <c r="D192" s="747" t="s">
        <v>166</v>
      </c>
      <c r="E192" s="748"/>
      <c r="F192" s="748"/>
      <c r="G192" s="748"/>
      <c r="H192" s="748"/>
      <c r="I192" s="279"/>
      <c r="J192" s="280" t="s">
        <v>18</v>
      </c>
      <c r="K192" s="88"/>
      <c r="L192" s="156">
        <f>SUM(L199:L203)</f>
        <v>0</v>
      </c>
      <c r="M192" s="246"/>
      <c r="N192" s="147">
        <f>IF(L192=0,0%,L192/L$8)</f>
        <v>0</v>
      </c>
      <c r="O192" s="495">
        <f>IF(LEN(R192)&gt;3,1,0)</f>
        <v>0</v>
      </c>
      <c r="R192" s="79" t="str">
        <f>IF(AND(R198="NOT",S198="NOT",T198="NOT"),"NOT",D192)</f>
        <v>NOT</v>
      </c>
    </row>
    <row r="193" spans="1:22" s="76" customFormat="1" ht="3" customHeight="1" x14ac:dyDescent="0.2">
      <c r="A193" s="87"/>
      <c r="B193" s="88"/>
      <c r="C193" s="88"/>
      <c r="D193" s="70"/>
      <c r="E193" s="70"/>
      <c r="F193" s="70"/>
      <c r="G193" s="70"/>
      <c r="H193" s="70"/>
      <c r="I193" s="70"/>
      <c r="J193" s="70"/>
      <c r="K193" s="88"/>
      <c r="L193" s="70"/>
      <c r="M193" s="70"/>
      <c r="N193" s="70"/>
      <c r="O193" s="89"/>
      <c r="V193" s="79"/>
    </row>
    <row r="194" spans="1:22" ht="25.5" customHeight="1" x14ac:dyDescent="0.2">
      <c r="B194" s="749" t="s">
        <v>646</v>
      </c>
      <c r="C194" s="750"/>
      <c r="D194" s="750"/>
      <c r="E194" s="750"/>
      <c r="F194" s="750"/>
      <c r="H194" s="81"/>
      <c r="J194" s="81"/>
      <c r="K194" s="88"/>
      <c r="L194" s="81"/>
      <c r="N194" s="227"/>
      <c r="R194" s="79" t="str">
        <f>IF(AND(($L192&gt;0),ISBLANK(B196)),B194,"NOT")</f>
        <v>NOT</v>
      </c>
    </row>
    <row r="195" spans="1:22" ht="3" customHeight="1" x14ac:dyDescent="0.2">
      <c r="B195" s="104"/>
      <c r="C195" s="88"/>
      <c r="D195" s="81"/>
      <c r="F195" s="81"/>
      <c r="H195" s="81"/>
      <c r="J195" s="81"/>
      <c r="K195" s="88"/>
      <c r="L195" s="81"/>
      <c r="N195" s="227"/>
    </row>
    <row r="196" spans="1:22" ht="60.75" customHeight="1" x14ac:dyDescent="0.2">
      <c r="B196" s="744"/>
      <c r="C196" s="745"/>
      <c r="D196" s="745"/>
      <c r="E196" s="745"/>
      <c r="F196" s="745"/>
      <c r="G196" s="745"/>
      <c r="H196" s="745"/>
      <c r="I196" s="745"/>
      <c r="J196" s="745"/>
      <c r="K196" s="745"/>
      <c r="L196" s="746"/>
      <c r="M196" s="70" t="s">
        <v>19</v>
      </c>
      <c r="N196" s="227"/>
    </row>
    <row r="197" spans="1:22" ht="3.75" customHeight="1" x14ac:dyDescent="0.2">
      <c r="B197" s="104"/>
      <c r="C197" s="88"/>
      <c r="D197" s="81"/>
      <c r="F197" s="81"/>
      <c r="H197" s="81"/>
      <c r="J197" s="81"/>
      <c r="K197" s="88"/>
      <c r="L197" s="81"/>
      <c r="N197" s="227"/>
    </row>
    <row r="198" spans="1:22" ht="12.75" customHeight="1" x14ac:dyDescent="0.2">
      <c r="B198" s="244" t="s">
        <v>17</v>
      </c>
      <c r="C198" s="88"/>
      <c r="D198" s="244" t="s">
        <v>580</v>
      </c>
      <c r="F198" s="244" t="s">
        <v>205</v>
      </c>
      <c r="H198" s="244" t="s">
        <v>16</v>
      </c>
      <c r="J198" s="244" t="s">
        <v>15</v>
      </c>
      <c r="K198" s="245"/>
      <c r="L198" s="103" t="s">
        <v>141</v>
      </c>
      <c r="N198" s="81"/>
      <c r="R198" s="255" t="str">
        <f>IF(AND(R199="NOT",R200="NOT",R201="NOT",R202="NOT",R203="NOT",R194="NOT"),"NOT",D192)</f>
        <v>NOT</v>
      </c>
      <c r="S198" s="255" t="str">
        <f>IF(AND(S199="NOT",S200="NOT",S201="NOT",S202="NOT",S203="NOT",R194="NOT"),"NOT",D192)</f>
        <v>NOT</v>
      </c>
      <c r="T198" s="255" t="str">
        <f>IF(AND(T199="NOT",T200="NOT",T201="NOT",T202="NOT",T203="NOT",R194="NOT"),"NOT",D192)</f>
        <v>NOT</v>
      </c>
    </row>
    <row r="199" spans="1:22" x14ac:dyDescent="0.2">
      <c r="B199" s="259"/>
      <c r="C199" s="88"/>
      <c r="D199" s="260"/>
      <c r="E199" s="243"/>
      <c r="F199" s="261"/>
      <c r="G199" s="243"/>
      <c r="H199" s="262"/>
      <c r="I199" s="243"/>
      <c r="J199" s="262"/>
      <c r="K199" s="88"/>
      <c r="L199" s="143">
        <f>TRUNC(H199*J199,2)</f>
        <v>0</v>
      </c>
      <c r="N199" s="81"/>
      <c r="R199" s="79" t="str">
        <f>IF(AND(($L199&gt;0),ISBLANK(B199)),B199,"NOT")</f>
        <v>NOT</v>
      </c>
      <c r="S199" s="79" t="str">
        <f>IF(AND(($L199&gt;0),ISBLANK(D199)),D199,"NOT")</f>
        <v>NOT</v>
      </c>
      <c r="T199" s="79" t="str">
        <f>IF(AND(($L199&gt;0),ISBLANK(F199)),F199,"NOT")</f>
        <v>NOT</v>
      </c>
      <c r="V199" s="79" t="str">
        <f>LEFT(D199,3)</f>
        <v/>
      </c>
    </row>
    <row r="200" spans="1:22" x14ac:dyDescent="0.2">
      <c r="B200" s="259"/>
      <c r="C200" s="88"/>
      <c r="D200" s="260"/>
      <c r="E200" s="243"/>
      <c r="F200" s="261"/>
      <c r="G200" s="243"/>
      <c r="H200" s="262"/>
      <c r="I200" s="243"/>
      <c r="J200" s="262"/>
      <c r="K200" s="88"/>
      <c r="L200" s="143">
        <f>TRUNC(H200*J200,2)</f>
        <v>0</v>
      </c>
      <c r="N200" s="81"/>
      <c r="R200" s="79" t="str">
        <f>IF(AND(($L200&gt;0),ISBLANK(B200)),B200,"NOT")</f>
        <v>NOT</v>
      </c>
      <c r="S200" s="79" t="str">
        <f>IF(AND(($L200&gt;0),ISBLANK(D200)),D200,"NOT")</f>
        <v>NOT</v>
      </c>
      <c r="T200" s="79" t="str">
        <f>IF(AND(($L200&gt;0),ISBLANK(F200)),F200,"NOT")</f>
        <v>NOT</v>
      </c>
      <c r="V200" s="79" t="str">
        <f t="shared" ref="V200:V203" si="37">LEFT(D200,3)</f>
        <v/>
      </c>
    </row>
    <row r="201" spans="1:22" x14ac:dyDescent="0.2">
      <c r="B201" s="259"/>
      <c r="C201" s="88"/>
      <c r="D201" s="260"/>
      <c r="E201" s="243"/>
      <c r="F201" s="261"/>
      <c r="G201" s="243"/>
      <c r="H201" s="262"/>
      <c r="I201" s="243"/>
      <c r="J201" s="262"/>
      <c r="K201" s="88"/>
      <c r="L201" s="143">
        <f>TRUNC(H201*J201,2)</f>
        <v>0</v>
      </c>
      <c r="N201" s="81"/>
      <c r="R201" s="79" t="str">
        <f>IF(AND(($L201&gt;0),ISBLANK(B201)),B201,"NOT")</f>
        <v>NOT</v>
      </c>
      <c r="S201" s="79" t="str">
        <f>IF(AND(($L201&gt;0),ISBLANK(D201)),D201,"NOT")</f>
        <v>NOT</v>
      </c>
      <c r="T201" s="79" t="str">
        <f>IF(AND(($L201&gt;0),ISBLANK(F201)),F201,"NOT")</f>
        <v>NOT</v>
      </c>
      <c r="V201" s="79" t="str">
        <f t="shared" si="37"/>
        <v/>
      </c>
    </row>
    <row r="202" spans="1:22" x14ac:dyDescent="0.2">
      <c r="B202" s="259"/>
      <c r="C202" s="88"/>
      <c r="D202" s="260"/>
      <c r="E202" s="243"/>
      <c r="F202" s="261"/>
      <c r="G202" s="243"/>
      <c r="H202" s="262"/>
      <c r="I202" s="243"/>
      <c r="J202" s="262"/>
      <c r="K202" s="88"/>
      <c r="L202" s="143">
        <f>TRUNC(H202*J202,2)</f>
        <v>0</v>
      </c>
      <c r="N202" s="81"/>
      <c r="R202" s="79" t="str">
        <f>IF(AND(($L202&gt;0),ISBLANK(B202)),B202,"NOT")</f>
        <v>NOT</v>
      </c>
      <c r="S202" s="79" t="str">
        <f>IF(AND(($L202&gt;0),ISBLANK(D202)),D202,"NOT")</f>
        <v>NOT</v>
      </c>
      <c r="T202" s="79" t="str">
        <f>IF(AND(($L202&gt;0),ISBLANK(F202)),F202,"NOT")</f>
        <v>NOT</v>
      </c>
      <c r="V202" s="79" t="str">
        <f t="shared" si="37"/>
        <v/>
      </c>
    </row>
    <row r="203" spans="1:22" x14ac:dyDescent="0.2">
      <c r="B203" s="259"/>
      <c r="C203" s="88"/>
      <c r="D203" s="260"/>
      <c r="E203" s="243"/>
      <c r="F203" s="261"/>
      <c r="G203" s="243"/>
      <c r="H203" s="262"/>
      <c r="I203" s="243"/>
      <c r="J203" s="262"/>
      <c r="K203" s="88"/>
      <c r="L203" s="143">
        <f>TRUNC(H203*J203,2)</f>
        <v>0</v>
      </c>
      <c r="N203" s="81"/>
      <c r="R203" s="79" t="str">
        <f>IF(AND(($L203&gt;0),ISBLANK(B203)),B203,"NOT")</f>
        <v>NOT</v>
      </c>
      <c r="S203" s="79" t="str">
        <f>IF(AND(($L203&gt;0),ISBLANK(D203)),D203,"NOT")</f>
        <v>NOT</v>
      </c>
      <c r="T203" s="79" t="str">
        <f>IF(AND(($L203&gt;0),ISBLANK(F203)),F203,"NOT")</f>
        <v>NOT</v>
      </c>
      <c r="V203" s="79" t="str">
        <f t="shared" si="37"/>
        <v/>
      </c>
    </row>
    <row r="204" spans="1:22" x14ac:dyDescent="0.2">
      <c r="B204" s="104"/>
      <c r="C204" s="88"/>
      <c r="D204" s="81"/>
      <c r="F204" s="81"/>
      <c r="H204" s="81"/>
      <c r="J204" s="81"/>
      <c r="K204" s="88"/>
      <c r="L204" s="81"/>
      <c r="N204" s="227"/>
    </row>
    <row r="205" spans="1:22" x14ac:dyDescent="0.2">
      <c r="B205" s="104"/>
      <c r="C205" s="88"/>
      <c r="D205" s="81"/>
      <c r="F205" s="81"/>
      <c r="H205" s="81"/>
      <c r="J205" s="81"/>
      <c r="K205" s="88"/>
      <c r="L205" s="81"/>
      <c r="N205" s="227"/>
    </row>
    <row r="206" spans="1:22" ht="27" customHeight="1" x14ac:dyDescent="0.2">
      <c r="A206" s="247">
        <v>6</v>
      </c>
      <c r="B206" s="248" t="s">
        <v>298</v>
      </c>
      <c r="C206" s="249"/>
      <c r="D206" s="760"/>
      <c r="E206" s="761"/>
      <c r="F206" s="761"/>
      <c r="G206" s="761"/>
      <c r="H206" s="762"/>
      <c r="I206" s="250"/>
      <c r="J206" s="251" t="s">
        <v>18</v>
      </c>
      <c r="K206" s="249"/>
      <c r="L206" s="252">
        <f>L208+L226</f>
        <v>1000</v>
      </c>
      <c r="M206" s="250"/>
      <c r="N206" s="253">
        <f>IF(L206=0,0%,L206/L$8)</f>
        <v>5.5640716763713351E-3</v>
      </c>
      <c r="O206" s="94"/>
      <c r="P206" s="95"/>
      <c r="Q206" s="79" t="e">
        <f>IF(AND(R227=#REF!,#REF!&gt;#REF!),D206,0)</f>
        <v>#REF!</v>
      </c>
      <c r="R206" s="79" t="e">
        <f>IF(AND(R227=#REF!,#REF!&gt;#REF!),D206,0)</f>
        <v>#REF!</v>
      </c>
      <c r="S206" s="79">
        <f>IF('9. Project budget summary'!T41&gt;0,('9. Project budget summary'!T37+'9. Project budget summary'!T33)/'9. Project budget summary'!T41,0)</f>
        <v>0.67187048492599999</v>
      </c>
      <c r="T206" s="231" t="s">
        <v>172</v>
      </c>
      <c r="U206" s="320" t="s">
        <v>183</v>
      </c>
      <c r="V206" s="271">
        <v>0.7</v>
      </c>
    </row>
    <row r="207" spans="1:22" s="76" customFormat="1" ht="7.5" customHeight="1" x14ac:dyDescent="0.2">
      <c r="A207" s="87"/>
      <c r="B207" s="88"/>
      <c r="C207" s="88"/>
      <c r="D207" s="70"/>
      <c r="E207" s="70"/>
      <c r="F207" s="70"/>
      <c r="G207" s="70"/>
      <c r="H207" s="70"/>
      <c r="I207" s="70"/>
      <c r="J207" s="70"/>
      <c r="K207" s="88"/>
      <c r="L207" s="70"/>
      <c r="M207" s="70"/>
      <c r="N207" s="70"/>
      <c r="O207" s="89"/>
      <c r="V207" s="79"/>
    </row>
    <row r="208" spans="1:22" ht="13.5" customHeight="1" x14ac:dyDescent="0.2">
      <c r="A208" s="276"/>
      <c r="B208" s="278" t="s">
        <v>301</v>
      </c>
      <c r="C208" s="277"/>
      <c r="D208" s="747" t="s">
        <v>166</v>
      </c>
      <c r="E208" s="748"/>
      <c r="F208" s="748"/>
      <c r="G208" s="748"/>
      <c r="H208" s="748"/>
      <c r="I208" s="279"/>
      <c r="J208" s="280" t="s">
        <v>18</v>
      </c>
      <c r="K208" s="88"/>
      <c r="L208" s="156">
        <f>SUM(L215:L224)</f>
        <v>0</v>
      </c>
      <c r="M208" s="246"/>
      <c r="N208" s="147">
        <f>IF(L208=0,0%,L208/L$8)</f>
        <v>0</v>
      </c>
      <c r="O208" s="495">
        <f>IF(LEN(R208)&gt;3,1,0)</f>
        <v>0</v>
      </c>
      <c r="R208" s="79" t="str">
        <f>IF(AND(R214="NOT",S214="NOT",T214="NOT"),"NOT",D208)</f>
        <v>NOT</v>
      </c>
    </row>
    <row r="209" spans="1:22" s="76" customFormat="1" ht="3" customHeight="1" x14ac:dyDescent="0.2">
      <c r="A209" s="87"/>
      <c r="B209" s="88"/>
      <c r="C209" s="88"/>
      <c r="D209" s="70"/>
      <c r="E209" s="70"/>
      <c r="F209" s="70"/>
      <c r="G209" s="70"/>
      <c r="H209" s="70"/>
      <c r="I209" s="70"/>
      <c r="J209" s="70"/>
      <c r="K209" s="88"/>
      <c r="L209" s="70"/>
      <c r="M209" s="70"/>
      <c r="N209" s="70"/>
      <c r="O209" s="89"/>
      <c r="V209" s="79"/>
    </row>
    <row r="210" spans="1:22" ht="24.75" customHeight="1" x14ac:dyDescent="0.2">
      <c r="B210" s="749" t="s">
        <v>203</v>
      </c>
      <c r="C210" s="750"/>
      <c r="D210" s="750"/>
      <c r="E210" s="750"/>
      <c r="F210" s="750"/>
      <c r="H210" s="81"/>
      <c r="J210" s="81"/>
      <c r="K210" s="88"/>
      <c r="L210" s="81"/>
      <c r="N210" s="227"/>
      <c r="R210" s="79" t="str">
        <f>IF(AND(($L208&gt;0),ISBLANK(B212)),B210,"NOT")</f>
        <v>NOT</v>
      </c>
    </row>
    <row r="211" spans="1:22" ht="3" customHeight="1" x14ac:dyDescent="0.2">
      <c r="B211" s="104"/>
      <c r="C211" s="88"/>
      <c r="D211" s="81"/>
      <c r="F211" s="81"/>
      <c r="H211" s="81"/>
      <c r="J211" s="81"/>
      <c r="K211" s="88"/>
      <c r="L211" s="81"/>
      <c r="N211" s="227"/>
    </row>
    <row r="212" spans="1:22" ht="90" customHeight="1" x14ac:dyDescent="0.2">
      <c r="B212" s="744"/>
      <c r="C212" s="745"/>
      <c r="D212" s="745"/>
      <c r="E212" s="745"/>
      <c r="F212" s="745"/>
      <c r="G212" s="745"/>
      <c r="H212" s="745"/>
      <c r="I212" s="745"/>
      <c r="J212" s="745"/>
      <c r="K212" s="745"/>
      <c r="L212" s="746"/>
      <c r="M212" s="70" t="s">
        <v>19</v>
      </c>
      <c r="N212" s="227"/>
    </row>
    <row r="213" spans="1:22" ht="3.75" customHeight="1" x14ac:dyDescent="0.2">
      <c r="B213" s="104"/>
      <c r="C213" s="88"/>
      <c r="D213" s="81"/>
      <c r="F213" s="81"/>
      <c r="H213" s="81"/>
      <c r="J213" s="81"/>
      <c r="K213" s="88"/>
      <c r="L213" s="81"/>
      <c r="N213" s="227"/>
    </row>
    <row r="214" spans="1:22" ht="38.25" x14ac:dyDescent="0.2">
      <c r="B214" s="244" t="s">
        <v>204</v>
      </c>
      <c r="C214" s="88"/>
      <c r="D214" s="244" t="s">
        <v>580</v>
      </c>
      <c r="F214" s="244" t="s">
        <v>205</v>
      </c>
      <c r="H214" s="244" t="s">
        <v>16</v>
      </c>
      <c r="J214" s="244" t="s">
        <v>15</v>
      </c>
      <c r="K214" s="245"/>
      <c r="L214" s="103" t="s">
        <v>141</v>
      </c>
      <c r="N214" s="81"/>
      <c r="R214" s="255" t="str">
        <f>IF(AND(R215="NOT",R216="NOT",R217="NOT",R218="NOT",R219="NOT",R220="NOT",R221="NOT",R222="NOT",R223="NOT",R224="NOT",R210="NOT"),"NOT",D208)</f>
        <v>NOT</v>
      </c>
      <c r="S214" s="255" t="str">
        <f>IF(AND(S215="NOT",S216="NOT",S217="NOT",S218="NOT",S219="NOT",S220="NOT",S221="NOT",S222="NOT",S223="NOT",S224="NOT",R210="NOT"),"NOT",D208)</f>
        <v>NOT</v>
      </c>
      <c r="T214" s="255" t="str">
        <f>IF(AND(T215="NOT",T216="NOT",T217="NOT",T218="NOT",T219="NOT",T220="NOT",T221="NOT",T222="NOT",T223="NOT",T224="NOT",R210="NOT"),"NOT",D208)</f>
        <v>NOT</v>
      </c>
    </row>
    <row r="215" spans="1:22" x14ac:dyDescent="0.2">
      <c r="B215" s="259"/>
      <c r="C215" s="88"/>
      <c r="D215" s="260"/>
      <c r="E215" s="243"/>
      <c r="F215" s="261"/>
      <c r="G215" s="243"/>
      <c r="H215" s="262"/>
      <c r="I215" s="243"/>
      <c r="J215" s="262"/>
      <c r="K215" s="88"/>
      <c r="L215" s="143">
        <f t="shared" ref="L215:L224" si="38">TRUNC(H215*J215,2)</f>
        <v>0</v>
      </c>
      <c r="N215" s="81"/>
      <c r="R215" s="79" t="str">
        <f t="shared" ref="R215:R224" si="39">IF(AND(($L215&gt;0),ISBLANK(B215)),B215,"NOT")</f>
        <v>NOT</v>
      </c>
      <c r="S215" s="79" t="str">
        <f t="shared" ref="S215:S224" si="40">IF(AND(($L215&gt;0),ISBLANK(D215)),D215,"NOT")</f>
        <v>NOT</v>
      </c>
      <c r="T215" s="79" t="str">
        <f t="shared" ref="T215:T224" si="41">IF(AND(($L215&gt;0),ISBLANK(F215)),F215,"NOT")</f>
        <v>NOT</v>
      </c>
      <c r="V215" s="79" t="str">
        <f t="shared" ref="V215:V224" si="42">LEFT(D215,3)</f>
        <v/>
      </c>
    </row>
    <row r="216" spans="1:22" x14ac:dyDescent="0.2">
      <c r="B216" s="259"/>
      <c r="C216" s="88"/>
      <c r="D216" s="260"/>
      <c r="E216" s="243"/>
      <c r="F216" s="261"/>
      <c r="G216" s="243"/>
      <c r="H216" s="262"/>
      <c r="I216" s="243"/>
      <c r="J216" s="262"/>
      <c r="K216" s="88"/>
      <c r="L216" s="143">
        <f t="shared" si="38"/>
        <v>0</v>
      </c>
      <c r="N216" s="81"/>
      <c r="R216" s="79" t="str">
        <f t="shared" si="39"/>
        <v>NOT</v>
      </c>
      <c r="S216" s="79" t="str">
        <f t="shared" si="40"/>
        <v>NOT</v>
      </c>
      <c r="T216" s="79" t="str">
        <f t="shared" si="41"/>
        <v>NOT</v>
      </c>
      <c r="V216" s="79" t="str">
        <f t="shared" si="42"/>
        <v/>
      </c>
    </row>
    <row r="217" spans="1:22" x14ac:dyDescent="0.2">
      <c r="B217" s="259"/>
      <c r="C217" s="88"/>
      <c r="D217" s="260"/>
      <c r="E217" s="243"/>
      <c r="F217" s="261"/>
      <c r="G217" s="243"/>
      <c r="H217" s="262"/>
      <c r="I217" s="243"/>
      <c r="J217" s="262"/>
      <c r="K217" s="88"/>
      <c r="L217" s="143">
        <f t="shared" si="38"/>
        <v>0</v>
      </c>
      <c r="N217" s="81"/>
      <c r="R217" s="79" t="str">
        <f t="shared" si="39"/>
        <v>NOT</v>
      </c>
      <c r="S217" s="79" t="str">
        <f t="shared" si="40"/>
        <v>NOT</v>
      </c>
      <c r="T217" s="79" t="str">
        <f t="shared" si="41"/>
        <v>NOT</v>
      </c>
      <c r="V217" s="79" t="str">
        <f t="shared" si="42"/>
        <v/>
      </c>
    </row>
    <row r="218" spans="1:22" x14ac:dyDescent="0.2">
      <c r="B218" s="259"/>
      <c r="C218" s="88"/>
      <c r="D218" s="260"/>
      <c r="E218" s="243"/>
      <c r="F218" s="261"/>
      <c r="G218" s="243"/>
      <c r="H218" s="262"/>
      <c r="I218" s="243"/>
      <c r="J218" s="262"/>
      <c r="K218" s="88"/>
      <c r="L218" s="143">
        <f t="shared" si="38"/>
        <v>0</v>
      </c>
      <c r="N218" s="81"/>
      <c r="R218" s="79" t="str">
        <f t="shared" si="39"/>
        <v>NOT</v>
      </c>
      <c r="S218" s="79" t="str">
        <f t="shared" si="40"/>
        <v>NOT</v>
      </c>
      <c r="T218" s="79" t="str">
        <f t="shared" si="41"/>
        <v>NOT</v>
      </c>
      <c r="V218" s="79" t="str">
        <f t="shared" si="42"/>
        <v/>
      </c>
    </row>
    <row r="219" spans="1:22" x14ac:dyDescent="0.2">
      <c r="B219" s="259"/>
      <c r="C219" s="88"/>
      <c r="D219" s="260"/>
      <c r="E219" s="243"/>
      <c r="F219" s="261"/>
      <c r="G219" s="243"/>
      <c r="H219" s="262"/>
      <c r="I219" s="243"/>
      <c r="J219" s="262"/>
      <c r="K219" s="88"/>
      <c r="L219" s="143">
        <f t="shared" si="38"/>
        <v>0</v>
      </c>
      <c r="N219" s="81"/>
      <c r="R219" s="79" t="str">
        <f t="shared" si="39"/>
        <v>NOT</v>
      </c>
      <c r="S219" s="79" t="str">
        <f t="shared" si="40"/>
        <v>NOT</v>
      </c>
      <c r="T219" s="79" t="str">
        <f t="shared" si="41"/>
        <v>NOT</v>
      </c>
      <c r="V219" s="79" t="str">
        <f t="shared" si="42"/>
        <v/>
      </c>
    </row>
    <row r="220" spans="1:22" x14ac:dyDescent="0.2">
      <c r="B220" s="259"/>
      <c r="C220" s="88"/>
      <c r="D220" s="260"/>
      <c r="E220" s="243"/>
      <c r="F220" s="261"/>
      <c r="G220" s="243"/>
      <c r="H220" s="262"/>
      <c r="I220" s="243"/>
      <c r="J220" s="262"/>
      <c r="K220" s="88"/>
      <c r="L220" s="143">
        <f t="shared" si="38"/>
        <v>0</v>
      </c>
      <c r="N220" s="81"/>
      <c r="R220" s="79" t="str">
        <f t="shared" si="39"/>
        <v>NOT</v>
      </c>
      <c r="S220" s="79" t="str">
        <f t="shared" si="40"/>
        <v>NOT</v>
      </c>
      <c r="T220" s="79" t="str">
        <f t="shared" si="41"/>
        <v>NOT</v>
      </c>
      <c r="V220" s="79" t="str">
        <f t="shared" si="42"/>
        <v/>
      </c>
    </row>
    <row r="221" spans="1:22" x14ac:dyDescent="0.2">
      <c r="B221" s="259"/>
      <c r="C221" s="88"/>
      <c r="D221" s="260"/>
      <c r="E221" s="243"/>
      <c r="F221" s="261"/>
      <c r="G221" s="243"/>
      <c r="H221" s="262"/>
      <c r="I221" s="243"/>
      <c r="J221" s="262"/>
      <c r="K221" s="88"/>
      <c r="L221" s="143">
        <f t="shared" si="38"/>
        <v>0</v>
      </c>
      <c r="N221" s="81"/>
      <c r="R221" s="79" t="str">
        <f t="shared" si="39"/>
        <v>NOT</v>
      </c>
      <c r="S221" s="79" t="str">
        <f t="shared" si="40"/>
        <v>NOT</v>
      </c>
      <c r="T221" s="79" t="str">
        <f t="shared" si="41"/>
        <v>NOT</v>
      </c>
      <c r="V221" s="79" t="str">
        <f t="shared" si="42"/>
        <v/>
      </c>
    </row>
    <row r="222" spans="1:22" x14ac:dyDescent="0.2">
      <c r="B222" s="259"/>
      <c r="C222" s="88"/>
      <c r="D222" s="260"/>
      <c r="E222" s="243"/>
      <c r="F222" s="261"/>
      <c r="G222" s="243"/>
      <c r="H222" s="262"/>
      <c r="I222" s="243"/>
      <c r="J222" s="262"/>
      <c r="K222" s="88"/>
      <c r="L222" s="143">
        <f t="shared" si="38"/>
        <v>0</v>
      </c>
      <c r="N222" s="81"/>
      <c r="R222" s="79" t="str">
        <f t="shared" si="39"/>
        <v>NOT</v>
      </c>
      <c r="S222" s="79" t="str">
        <f t="shared" si="40"/>
        <v>NOT</v>
      </c>
      <c r="T222" s="79" t="str">
        <f t="shared" si="41"/>
        <v>NOT</v>
      </c>
      <c r="V222" s="79" t="str">
        <f t="shared" si="42"/>
        <v/>
      </c>
    </row>
    <row r="223" spans="1:22" x14ac:dyDescent="0.2">
      <c r="B223" s="259"/>
      <c r="C223" s="88"/>
      <c r="D223" s="260"/>
      <c r="E223" s="243"/>
      <c r="F223" s="261"/>
      <c r="G223" s="243"/>
      <c r="H223" s="262"/>
      <c r="I223" s="243"/>
      <c r="J223" s="262"/>
      <c r="K223" s="88"/>
      <c r="L223" s="143">
        <f t="shared" si="38"/>
        <v>0</v>
      </c>
      <c r="N223" s="81"/>
      <c r="R223" s="79" t="str">
        <f t="shared" si="39"/>
        <v>NOT</v>
      </c>
      <c r="S223" s="79" t="str">
        <f t="shared" si="40"/>
        <v>NOT</v>
      </c>
      <c r="T223" s="79" t="str">
        <f t="shared" si="41"/>
        <v>NOT</v>
      </c>
      <c r="V223" s="79" t="str">
        <f t="shared" si="42"/>
        <v/>
      </c>
    </row>
    <row r="224" spans="1:22" x14ac:dyDescent="0.2">
      <c r="B224" s="259"/>
      <c r="C224" s="88"/>
      <c r="D224" s="260"/>
      <c r="E224" s="243"/>
      <c r="F224" s="261"/>
      <c r="G224" s="243"/>
      <c r="H224" s="262"/>
      <c r="I224" s="243"/>
      <c r="J224" s="262"/>
      <c r="K224" s="88"/>
      <c r="L224" s="143">
        <f t="shared" si="38"/>
        <v>0</v>
      </c>
      <c r="N224" s="81"/>
      <c r="R224" s="79" t="str">
        <f t="shared" si="39"/>
        <v>NOT</v>
      </c>
      <c r="S224" s="79" t="str">
        <f t="shared" si="40"/>
        <v>NOT</v>
      </c>
      <c r="T224" s="79" t="str">
        <f t="shared" si="41"/>
        <v>NOT</v>
      </c>
      <c r="V224" s="79" t="str">
        <f t="shared" si="42"/>
        <v/>
      </c>
    </row>
    <row r="225" spans="1:22" x14ac:dyDescent="0.2">
      <c r="B225" s="104"/>
      <c r="C225" s="88"/>
      <c r="D225" s="81"/>
      <c r="F225" s="81"/>
      <c r="H225" s="81"/>
      <c r="J225" s="81"/>
      <c r="K225" s="88"/>
      <c r="L225" s="81"/>
      <c r="N225" s="227"/>
    </row>
    <row r="226" spans="1:22" ht="13.5" customHeight="1" x14ac:dyDescent="0.2">
      <c r="A226" s="276"/>
      <c r="B226" s="278" t="s">
        <v>302</v>
      </c>
      <c r="C226" s="249"/>
      <c r="D226" s="754" t="s">
        <v>300</v>
      </c>
      <c r="E226" s="755"/>
      <c r="F226" s="755"/>
      <c r="G226" s="755"/>
      <c r="H226" s="756"/>
      <c r="I226" s="250"/>
      <c r="J226" s="280" t="s">
        <v>18</v>
      </c>
      <c r="K226" s="88"/>
      <c r="L226" s="156">
        <f>IF(LEN(D1)&gt;5,1000,0)</f>
        <v>1000</v>
      </c>
      <c r="M226" s="246"/>
      <c r="N226" s="147">
        <f>IF(L226=0,0%,L226/L$8)</f>
        <v>5.5640716763713351E-3</v>
      </c>
      <c r="R226" s="79" t="e">
        <f>IF(AND(#REF!="NOT",#REF!="NOT",#REF!="NOT"),"NOT",D226)</f>
        <v>#REF!</v>
      </c>
    </row>
    <row r="227" spans="1:22" x14ac:dyDescent="0.2">
      <c r="B227" s="104"/>
      <c r="C227" s="88"/>
      <c r="D227" s="81"/>
      <c r="F227" s="81"/>
      <c r="H227" s="81"/>
      <c r="J227" s="81"/>
      <c r="K227" s="88"/>
      <c r="L227" s="81"/>
      <c r="N227" s="227"/>
      <c r="R227" s="321" t="str">
        <f>LEFT('1. General Data'!E25,5)</f>
        <v>2.1.1</v>
      </c>
      <c r="S227" s="231">
        <f>IF('9. Project budget summary'!T41&gt;0,'9. Project budget summary'!T37/'9. Project budget summary'!T41,0)</f>
        <v>0.52183891467003807</v>
      </c>
      <c r="T227" s="231" t="s">
        <v>170</v>
      </c>
      <c r="U227" s="320" t="s">
        <v>26</v>
      </c>
      <c r="V227" s="271">
        <v>0.5</v>
      </c>
    </row>
    <row r="228" spans="1:22" ht="40.5" customHeight="1" x14ac:dyDescent="0.2">
      <c r="A228" s="247">
        <v>7</v>
      </c>
      <c r="B228" s="248" t="s">
        <v>299</v>
      </c>
      <c r="C228" s="249"/>
      <c r="D228" s="317"/>
      <c r="E228" s="327"/>
      <c r="F228" s="757"/>
      <c r="G228" s="758"/>
      <c r="H228" s="759"/>
      <c r="I228" s="250"/>
      <c r="J228" s="251" t="s">
        <v>18</v>
      </c>
      <c r="K228" s="249"/>
      <c r="L228" s="252">
        <f>L230+L248</f>
        <v>166700</v>
      </c>
      <c r="M228" s="250"/>
      <c r="N228" s="253">
        <f>IF(L228=0,0%,L228/L$8)</f>
        <v>0.92753074845110151</v>
      </c>
      <c r="O228" s="94"/>
      <c r="P228" s="95"/>
      <c r="Q228" s="321" t="e">
        <f>IF(R227=#REF!,IF(#REF!&gt;#REF!,D228,0),IF(AND(OR(R227=U228,R227=#REF!,R227=U229),N228&gt;V228),D228,0))</f>
        <v>#REF!</v>
      </c>
      <c r="R228" s="321">
        <f>IF(AND(R227=U227,S227&lt;V227),F228,0)</f>
        <v>0</v>
      </c>
      <c r="S228" s="231">
        <f>IF('9. Project budget summary'!T41&gt;0,'9. Project budget summary'!T37/'9. Project budget summary'!T41,0)</f>
        <v>0.52183891467003807</v>
      </c>
      <c r="T228" s="231" t="s">
        <v>171</v>
      </c>
      <c r="U228" s="320" t="s">
        <v>32</v>
      </c>
      <c r="V228" s="271">
        <v>0.7</v>
      </c>
    </row>
    <row r="229" spans="1:22" s="76" customFormat="1" ht="7.5" customHeight="1" x14ac:dyDescent="0.2">
      <c r="A229" s="87"/>
      <c r="B229" s="88"/>
      <c r="C229" s="88"/>
      <c r="D229" s="70"/>
      <c r="E229" s="70"/>
      <c r="F229" s="70"/>
      <c r="G229" s="70"/>
      <c r="H229" s="70"/>
      <c r="I229" s="70"/>
      <c r="J229" s="70"/>
      <c r="K229" s="88"/>
      <c r="L229" s="70"/>
      <c r="M229" s="70"/>
      <c r="N229" s="70"/>
      <c r="O229" s="89"/>
      <c r="S229" s="231">
        <f>IF('9. Project budget summary'!T41&gt;0,'9. Project budget summary'!T37/'9. Project budget summary'!T41,0)</f>
        <v>0.52183891467003807</v>
      </c>
      <c r="T229" s="231" t="s">
        <v>171</v>
      </c>
      <c r="U229" s="320" t="s">
        <v>24</v>
      </c>
      <c r="V229" s="271">
        <v>0.7</v>
      </c>
    </row>
    <row r="230" spans="1:22" ht="28.5" customHeight="1" x14ac:dyDescent="0.2">
      <c r="A230" s="276"/>
      <c r="B230" s="278" t="s">
        <v>303</v>
      </c>
      <c r="C230" s="277"/>
      <c r="D230" s="747" t="s">
        <v>166</v>
      </c>
      <c r="E230" s="748"/>
      <c r="F230" s="748"/>
      <c r="G230" s="748"/>
      <c r="H230" s="748"/>
      <c r="I230" s="279"/>
      <c r="J230" s="280" t="s">
        <v>18</v>
      </c>
      <c r="K230" s="88"/>
      <c r="L230" s="156">
        <f>SUM(L237:L246)</f>
        <v>158160</v>
      </c>
      <c r="M230" s="246"/>
      <c r="N230" s="147">
        <f>IF(L230=0,0%,L230/L$8)</f>
        <v>0.8800135763348903</v>
      </c>
      <c r="O230" s="495">
        <f>IF(LEN(R230)&gt;3,1,0)</f>
        <v>0</v>
      </c>
      <c r="R230" s="79" t="str">
        <f>IF(AND(R236="NOT",S236="NOT",T236="NOT"),"NOT",D230)</f>
        <v>NOT</v>
      </c>
      <c r="U230" s="328"/>
    </row>
    <row r="231" spans="1:22" s="76" customFormat="1" ht="3" customHeight="1" x14ac:dyDescent="0.2">
      <c r="A231" s="87"/>
      <c r="B231" s="88"/>
      <c r="C231" s="88"/>
      <c r="D231" s="70"/>
      <c r="E231" s="70"/>
      <c r="F231" s="70"/>
      <c r="G231" s="70"/>
      <c r="H231" s="70"/>
      <c r="I231" s="70"/>
      <c r="J231" s="70"/>
      <c r="K231" s="88"/>
      <c r="L231" s="70"/>
      <c r="M231" s="70"/>
      <c r="N231" s="70"/>
      <c r="O231" s="89"/>
      <c r="V231" s="79"/>
    </row>
    <row r="232" spans="1:22" ht="29.25" customHeight="1" x14ac:dyDescent="0.2">
      <c r="B232" s="749" t="s">
        <v>203</v>
      </c>
      <c r="C232" s="750"/>
      <c r="D232" s="750"/>
      <c r="E232" s="750"/>
      <c r="F232" s="750"/>
      <c r="H232" s="81"/>
      <c r="J232" s="81"/>
      <c r="K232" s="88"/>
      <c r="L232" s="81"/>
      <c r="N232" s="227"/>
      <c r="R232" s="79" t="str">
        <f>IF(AND(($L230&gt;0),ISBLANK(B234)),B232,"NOT")</f>
        <v>NOT</v>
      </c>
    </row>
    <row r="233" spans="1:22" ht="3" customHeight="1" x14ac:dyDescent="0.2">
      <c r="B233" s="104"/>
      <c r="C233" s="88"/>
      <c r="D233" s="81"/>
      <c r="F233" s="81"/>
      <c r="H233" s="81"/>
      <c r="J233" s="81"/>
      <c r="K233" s="88"/>
      <c r="L233" s="81"/>
      <c r="N233" s="227"/>
    </row>
    <row r="234" spans="1:22" ht="90" customHeight="1" x14ac:dyDescent="0.2">
      <c r="B234" s="763" t="s">
        <v>991</v>
      </c>
      <c r="C234" s="745"/>
      <c r="D234" s="745"/>
      <c r="E234" s="745"/>
      <c r="F234" s="745"/>
      <c r="G234" s="745"/>
      <c r="H234" s="745"/>
      <c r="I234" s="745"/>
      <c r="J234" s="745"/>
      <c r="K234" s="745"/>
      <c r="L234" s="746"/>
      <c r="M234" s="70" t="s">
        <v>19</v>
      </c>
      <c r="N234" s="227"/>
    </row>
    <row r="235" spans="1:22" ht="3.75" customHeight="1" x14ac:dyDescent="0.2">
      <c r="B235" s="104"/>
      <c r="C235" s="88"/>
      <c r="D235" s="81"/>
      <c r="F235" s="81"/>
      <c r="H235" s="81"/>
      <c r="J235" s="81"/>
      <c r="K235" s="88"/>
      <c r="L235" s="81"/>
      <c r="N235" s="227"/>
    </row>
    <row r="236" spans="1:22" ht="12.75" customHeight="1" x14ac:dyDescent="0.2">
      <c r="B236" s="244" t="s">
        <v>17</v>
      </c>
      <c r="C236" s="88"/>
      <c r="D236" s="244" t="s">
        <v>580</v>
      </c>
      <c r="F236" s="244" t="s">
        <v>205</v>
      </c>
      <c r="H236" s="244" t="s">
        <v>16</v>
      </c>
      <c r="J236" s="244" t="s">
        <v>15</v>
      </c>
      <c r="K236" s="245"/>
      <c r="L236" s="103" t="s">
        <v>141</v>
      </c>
      <c r="N236" s="81"/>
      <c r="R236" s="255" t="str">
        <f>IF(AND(R237="NOT",R238="NOT",R239="NOT",R240="NOT",R241="NOT",R242="NOT",R243="NOT",R244="NOT",R245="NOT",R246="NOT",R232="NOT"),"NOT",D230)</f>
        <v>NOT</v>
      </c>
      <c r="S236" s="255" t="str">
        <f>IF(AND(S237="NOT",S238="NOT",S239="NOT",S240="NOT",S241="NOT",S242="NOT",S243="NOT",S244="NOT",S245="NOT",S246="NOT",R232="NOT"),"NOT",D230)</f>
        <v>NOT</v>
      </c>
      <c r="T236" s="255" t="str">
        <f>IF(AND(T237="NOT",T238="NOT",T239="NOT",T240="NOT",T241="NOT",T242="NOT",T243="NOT",T244="NOT",T245="NOT",T246="NOT",R232="NOT"),"NOT",D230)</f>
        <v>NOT</v>
      </c>
    </row>
    <row r="237" spans="1:22" ht="38.25" x14ac:dyDescent="0.2">
      <c r="B237" s="546" t="s">
        <v>1064</v>
      </c>
      <c r="C237" s="88"/>
      <c r="D237" s="260" t="s">
        <v>990</v>
      </c>
      <c r="E237" s="243"/>
      <c r="F237" s="513" t="s">
        <v>764</v>
      </c>
      <c r="G237" s="243"/>
      <c r="H237" s="262">
        <v>1</v>
      </c>
      <c r="I237" s="243"/>
      <c r="J237" s="543">
        <v>101160</v>
      </c>
      <c r="K237" s="88"/>
      <c r="L237" s="143">
        <f t="shared" ref="L237:L246" si="43">TRUNC(H237*J237,2)</f>
        <v>101160</v>
      </c>
      <c r="N237" s="81"/>
      <c r="R237" s="79" t="str">
        <f t="shared" ref="R237:R246" si="44">IF(AND(($L237&gt;0),ISBLANK(B237)),B237,"NOT")</f>
        <v>NOT</v>
      </c>
      <c r="S237" s="79" t="str">
        <f t="shared" ref="S237:S246" si="45">IF(AND(($L237&gt;0),ISBLANK(D237)),D237,"NOT")</f>
        <v>NOT</v>
      </c>
      <c r="T237" s="79" t="str">
        <f t="shared" ref="T237:T246" si="46">IF(AND(($L237&gt;0),ISBLANK(F237)),F237,"NOT")</f>
        <v>NOT</v>
      </c>
      <c r="V237" s="79" t="str">
        <f t="shared" ref="V237:V246" si="47">LEFT(D237,3)</f>
        <v xml:space="preserve">9. </v>
      </c>
    </row>
    <row r="238" spans="1:22" ht="51" x14ac:dyDescent="0.2">
      <c r="B238" s="546" t="s">
        <v>1098</v>
      </c>
      <c r="C238" s="88"/>
      <c r="D238" s="260" t="s">
        <v>990</v>
      </c>
      <c r="E238" s="243"/>
      <c r="F238" s="513" t="s">
        <v>764</v>
      </c>
      <c r="G238" s="243"/>
      <c r="H238" s="262">
        <v>1</v>
      </c>
      <c r="I238" s="243"/>
      <c r="J238" s="543">
        <v>57000</v>
      </c>
      <c r="K238" s="88"/>
      <c r="L238" s="143">
        <f t="shared" si="43"/>
        <v>57000</v>
      </c>
      <c r="N238" s="81"/>
      <c r="R238" s="79" t="str">
        <f t="shared" si="44"/>
        <v>NOT</v>
      </c>
      <c r="S238" s="79" t="str">
        <f t="shared" si="45"/>
        <v>NOT</v>
      </c>
      <c r="T238" s="79" t="str">
        <f t="shared" si="46"/>
        <v>NOT</v>
      </c>
      <c r="V238" s="79" t="str">
        <f t="shared" si="47"/>
        <v xml:space="preserve">9. </v>
      </c>
    </row>
    <row r="239" spans="1:22" x14ac:dyDescent="0.2">
      <c r="B239" s="259"/>
      <c r="C239" s="88"/>
      <c r="D239" s="260"/>
      <c r="E239" s="243"/>
      <c r="F239" s="261"/>
      <c r="G239" s="243"/>
      <c r="H239" s="262"/>
      <c r="I239" s="243"/>
      <c r="J239" s="262"/>
      <c r="K239" s="88"/>
      <c r="L239" s="143">
        <f t="shared" si="43"/>
        <v>0</v>
      </c>
      <c r="N239" s="81"/>
      <c r="R239" s="79" t="str">
        <f t="shared" si="44"/>
        <v>NOT</v>
      </c>
      <c r="S239" s="79" t="str">
        <f t="shared" si="45"/>
        <v>NOT</v>
      </c>
      <c r="T239" s="79" t="str">
        <f t="shared" si="46"/>
        <v>NOT</v>
      </c>
      <c r="V239" s="79" t="str">
        <f t="shared" si="47"/>
        <v/>
      </c>
    </row>
    <row r="240" spans="1:22" x14ac:dyDescent="0.2">
      <c r="B240" s="259"/>
      <c r="C240" s="88"/>
      <c r="D240" s="260"/>
      <c r="E240" s="243"/>
      <c r="F240" s="261"/>
      <c r="G240" s="243"/>
      <c r="H240" s="262"/>
      <c r="I240" s="243"/>
      <c r="J240" s="262"/>
      <c r="K240" s="88"/>
      <c r="L240" s="143">
        <f t="shared" si="43"/>
        <v>0</v>
      </c>
      <c r="N240" s="81"/>
      <c r="R240" s="79" t="str">
        <f t="shared" si="44"/>
        <v>NOT</v>
      </c>
      <c r="S240" s="79" t="str">
        <f t="shared" si="45"/>
        <v>NOT</v>
      </c>
      <c r="T240" s="79" t="str">
        <f t="shared" si="46"/>
        <v>NOT</v>
      </c>
      <c r="V240" s="79" t="str">
        <f t="shared" si="47"/>
        <v/>
      </c>
    </row>
    <row r="241" spans="1:22" x14ac:dyDescent="0.2">
      <c r="B241" s="259"/>
      <c r="C241" s="88"/>
      <c r="D241" s="260"/>
      <c r="E241" s="243"/>
      <c r="F241" s="261"/>
      <c r="G241" s="243"/>
      <c r="H241" s="262"/>
      <c r="I241" s="243"/>
      <c r="J241" s="262"/>
      <c r="K241" s="88"/>
      <c r="L241" s="143">
        <f t="shared" si="43"/>
        <v>0</v>
      </c>
      <c r="N241" s="81"/>
      <c r="R241" s="79" t="str">
        <f t="shared" si="44"/>
        <v>NOT</v>
      </c>
      <c r="S241" s="79" t="str">
        <f t="shared" si="45"/>
        <v>NOT</v>
      </c>
      <c r="T241" s="79" t="str">
        <f t="shared" si="46"/>
        <v>NOT</v>
      </c>
      <c r="V241" s="79" t="str">
        <f t="shared" si="47"/>
        <v/>
      </c>
    </row>
    <row r="242" spans="1:22" x14ac:dyDescent="0.2">
      <c r="B242" s="259"/>
      <c r="C242" s="88"/>
      <c r="D242" s="260"/>
      <c r="E242" s="243"/>
      <c r="F242" s="261"/>
      <c r="G242" s="243"/>
      <c r="H242" s="262"/>
      <c r="I242" s="243"/>
      <c r="J242" s="262"/>
      <c r="K242" s="88"/>
      <c r="L242" s="143">
        <f t="shared" si="43"/>
        <v>0</v>
      </c>
      <c r="N242" s="81"/>
      <c r="R242" s="79" t="str">
        <f t="shared" si="44"/>
        <v>NOT</v>
      </c>
      <c r="S242" s="79" t="str">
        <f t="shared" si="45"/>
        <v>NOT</v>
      </c>
      <c r="T242" s="79" t="str">
        <f t="shared" si="46"/>
        <v>NOT</v>
      </c>
      <c r="V242" s="79" t="str">
        <f t="shared" si="47"/>
        <v/>
      </c>
    </row>
    <row r="243" spans="1:22" x14ac:dyDescent="0.2">
      <c r="B243" s="259"/>
      <c r="C243" s="88"/>
      <c r="D243" s="260"/>
      <c r="E243" s="243"/>
      <c r="F243" s="261"/>
      <c r="G243" s="243"/>
      <c r="H243" s="262"/>
      <c r="I243" s="243"/>
      <c r="J243" s="262"/>
      <c r="K243" s="88"/>
      <c r="L243" s="143">
        <f t="shared" si="43"/>
        <v>0</v>
      </c>
      <c r="N243" s="81"/>
      <c r="R243" s="79" t="str">
        <f t="shared" si="44"/>
        <v>NOT</v>
      </c>
      <c r="S243" s="79" t="str">
        <f t="shared" si="45"/>
        <v>NOT</v>
      </c>
      <c r="T243" s="79" t="str">
        <f t="shared" si="46"/>
        <v>NOT</v>
      </c>
      <c r="V243" s="79" t="str">
        <f t="shared" si="47"/>
        <v/>
      </c>
    </row>
    <row r="244" spans="1:22" x14ac:dyDescent="0.2">
      <c r="B244" s="259"/>
      <c r="C244" s="88"/>
      <c r="D244" s="260"/>
      <c r="E244" s="243"/>
      <c r="F244" s="261"/>
      <c r="G244" s="243"/>
      <c r="H244" s="262"/>
      <c r="I244" s="243"/>
      <c r="J244" s="262"/>
      <c r="K244" s="88"/>
      <c r="L244" s="143">
        <f t="shared" si="43"/>
        <v>0</v>
      </c>
      <c r="N244" s="81"/>
      <c r="R244" s="79" t="str">
        <f t="shared" si="44"/>
        <v>NOT</v>
      </c>
      <c r="S244" s="79" t="str">
        <f t="shared" si="45"/>
        <v>NOT</v>
      </c>
      <c r="T244" s="79" t="str">
        <f t="shared" si="46"/>
        <v>NOT</v>
      </c>
      <c r="V244" s="79" t="str">
        <f t="shared" si="47"/>
        <v/>
      </c>
    </row>
    <row r="245" spans="1:22" x14ac:dyDescent="0.2">
      <c r="B245" s="259"/>
      <c r="C245" s="88"/>
      <c r="D245" s="260"/>
      <c r="E245" s="243"/>
      <c r="F245" s="261"/>
      <c r="G245" s="243"/>
      <c r="H245" s="262"/>
      <c r="I245" s="243"/>
      <c r="J245" s="262"/>
      <c r="K245" s="88"/>
      <c r="L245" s="143">
        <f t="shared" si="43"/>
        <v>0</v>
      </c>
      <c r="N245" s="81"/>
      <c r="R245" s="79" t="str">
        <f t="shared" si="44"/>
        <v>NOT</v>
      </c>
      <c r="S245" s="79" t="str">
        <f t="shared" si="45"/>
        <v>NOT</v>
      </c>
      <c r="T245" s="79" t="str">
        <f t="shared" si="46"/>
        <v>NOT</v>
      </c>
      <c r="V245" s="79" t="str">
        <f t="shared" si="47"/>
        <v/>
      </c>
    </row>
    <row r="246" spans="1:22" x14ac:dyDescent="0.2">
      <c r="B246" s="259"/>
      <c r="C246" s="88"/>
      <c r="D246" s="260"/>
      <c r="E246" s="243"/>
      <c r="F246" s="261"/>
      <c r="G246" s="243"/>
      <c r="H246" s="262"/>
      <c r="I246" s="243"/>
      <c r="J246" s="262"/>
      <c r="K246" s="88"/>
      <c r="L246" s="143">
        <f t="shared" si="43"/>
        <v>0</v>
      </c>
      <c r="N246" s="81"/>
      <c r="R246" s="79" t="str">
        <f t="shared" si="44"/>
        <v>NOT</v>
      </c>
      <c r="S246" s="79" t="str">
        <f t="shared" si="45"/>
        <v>NOT</v>
      </c>
      <c r="T246" s="79" t="str">
        <f t="shared" si="46"/>
        <v>NOT</v>
      </c>
      <c r="V246" s="79" t="str">
        <f t="shared" si="47"/>
        <v/>
      </c>
    </row>
    <row r="247" spans="1:22" x14ac:dyDescent="0.2">
      <c r="B247" s="104"/>
      <c r="C247" s="88"/>
      <c r="D247" s="81"/>
      <c r="F247" s="81"/>
      <c r="H247" s="81"/>
      <c r="J247" s="81"/>
      <c r="K247" s="88"/>
      <c r="L247" s="81"/>
      <c r="N247" s="227"/>
    </row>
    <row r="248" spans="1:22" ht="13.5" customHeight="1" x14ac:dyDescent="0.2">
      <c r="A248" s="276"/>
      <c r="B248" s="278" t="s">
        <v>304</v>
      </c>
      <c r="C248" s="277"/>
      <c r="D248" s="747" t="s">
        <v>166</v>
      </c>
      <c r="E248" s="748"/>
      <c r="F248" s="748"/>
      <c r="G248" s="748"/>
      <c r="H248" s="748"/>
      <c r="I248" s="279"/>
      <c r="J248" s="280" t="s">
        <v>18</v>
      </c>
      <c r="K248" s="88"/>
      <c r="L248" s="156">
        <f>SUM(L255:L258)</f>
        <v>8540</v>
      </c>
      <c r="M248" s="246"/>
      <c r="N248" s="147">
        <f>IF(L248=0,0%,L248/L$8)</f>
        <v>4.7517172116211204E-2</v>
      </c>
      <c r="O248" s="495">
        <f>IF(LEN(R248)&gt;3,1,0)</f>
        <v>0</v>
      </c>
      <c r="P248" s="270">
        <v>0.1</v>
      </c>
      <c r="Q248" s="231" t="str">
        <f>IF('9. Project budget summary'!X39=1,B249,"")</f>
        <v/>
      </c>
      <c r="R248" s="79" t="str">
        <f>IF(AND(R254="NOT",S254="NOT",T254="NOT"),"NOT",D248)</f>
        <v>NOT</v>
      </c>
    </row>
    <row r="249" spans="1:22" s="76" customFormat="1" ht="27" customHeight="1" x14ac:dyDescent="0.2">
      <c r="A249" s="87"/>
      <c r="B249" s="752" t="s">
        <v>643</v>
      </c>
      <c r="C249" s="753"/>
      <c r="D249" s="753"/>
      <c r="E249" s="753"/>
      <c r="F249" s="753"/>
      <c r="G249" s="753"/>
      <c r="H249" s="753"/>
      <c r="I249" s="753"/>
      <c r="J249" s="753"/>
      <c r="K249" s="88"/>
      <c r="L249" s="70"/>
      <c r="M249" s="70"/>
      <c r="N249" s="70"/>
      <c r="O249" s="495">
        <f>IF(LEN(Q248)&gt;3,1,0)</f>
        <v>0</v>
      </c>
      <c r="Q249" s="272"/>
      <c r="V249" s="79"/>
    </row>
    <row r="250" spans="1:22" x14ac:dyDescent="0.2">
      <c r="B250" s="742" t="s">
        <v>197</v>
      </c>
      <c r="C250" s="743"/>
      <c r="D250" s="743"/>
      <c r="E250" s="743"/>
      <c r="F250" s="743"/>
      <c r="H250" s="81"/>
      <c r="J250" s="81"/>
      <c r="K250" s="88"/>
      <c r="L250" s="81"/>
      <c r="N250" s="227"/>
      <c r="R250" s="79" t="str">
        <f>IF(AND(($L248&gt;0),ISBLANK(B252)),B250,"NOT")</f>
        <v>NOT</v>
      </c>
    </row>
    <row r="251" spans="1:22" ht="3" customHeight="1" x14ac:dyDescent="0.2">
      <c r="B251" s="104"/>
      <c r="C251" s="88"/>
      <c r="D251" s="81"/>
      <c r="F251" s="81"/>
      <c r="H251" s="81"/>
      <c r="J251" s="81"/>
      <c r="K251" s="88"/>
      <c r="L251" s="81"/>
      <c r="N251" s="227"/>
    </row>
    <row r="252" spans="1:22" ht="48" customHeight="1" x14ac:dyDescent="0.2">
      <c r="B252" s="782" t="s">
        <v>1072</v>
      </c>
      <c r="C252" s="745"/>
      <c r="D252" s="745"/>
      <c r="E252" s="745"/>
      <c r="F252" s="745"/>
      <c r="G252" s="745"/>
      <c r="H252" s="745"/>
      <c r="I252" s="745"/>
      <c r="J252" s="745"/>
      <c r="K252" s="745"/>
      <c r="L252" s="746"/>
      <c r="M252" s="70" t="s">
        <v>19</v>
      </c>
      <c r="N252" s="227"/>
    </row>
    <row r="253" spans="1:22" ht="3.75" customHeight="1" x14ac:dyDescent="0.2">
      <c r="B253" s="104"/>
      <c r="C253" s="88"/>
      <c r="D253" s="81"/>
      <c r="F253" s="81"/>
      <c r="H253" s="81"/>
      <c r="J253" s="81"/>
      <c r="K253" s="88"/>
      <c r="L253" s="81"/>
      <c r="N253" s="227"/>
    </row>
    <row r="254" spans="1:22" ht="12.75" customHeight="1" x14ac:dyDescent="0.2">
      <c r="B254" s="244" t="s">
        <v>17</v>
      </c>
      <c r="C254" s="88"/>
      <c r="D254" s="244" t="s">
        <v>580</v>
      </c>
      <c r="F254" s="244" t="s">
        <v>205</v>
      </c>
      <c r="H254" s="244" t="s">
        <v>16</v>
      </c>
      <c r="J254" s="244" t="s">
        <v>15</v>
      </c>
      <c r="K254" s="245"/>
      <c r="L254" s="103" t="s">
        <v>141</v>
      </c>
      <c r="N254" s="81"/>
      <c r="R254" s="255" t="str">
        <f>IF(AND(R255="NOT",R256="NOT",R257="NOT",R258="NOT",R250="NOT"),"NOT",D248)</f>
        <v>NOT</v>
      </c>
      <c r="S254" s="255" t="str">
        <f>IF(AND(S255="NOT",S256="NOT",S257="NOT",S258="NOT",R250="NOT"),"NOT",D248)</f>
        <v>NOT</v>
      </c>
      <c r="T254" s="255" t="str">
        <f>IF(AND(T255="NOT",T256="NOT",T257="NOT",T258="NOT",R250="NOT"),"NOT",D248)</f>
        <v>NOT</v>
      </c>
    </row>
    <row r="255" spans="1:22" ht="38.25" x14ac:dyDescent="0.2">
      <c r="B255" s="546" t="s">
        <v>1094</v>
      </c>
      <c r="C255" s="88"/>
      <c r="D255" s="260" t="s">
        <v>990</v>
      </c>
      <c r="E255" s="243"/>
      <c r="F255" s="261" t="s">
        <v>25</v>
      </c>
      <c r="G255" s="243"/>
      <c r="H255" s="543">
        <v>89</v>
      </c>
      <c r="I255" s="243"/>
      <c r="J255" s="543">
        <v>10</v>
      </c>
      <c r="K255" s="88"/>
      <c r="L255" s="143">
        <f>TRUNC(H255*J255,2)</f>
        <v>890</v>
      </c>
      <c r="N255" s="81"/>
      <c r="R255" s="79" t="str">
        <f>IF(AND(($L255&gt;0),ISBLANK(B255)),B255,"NOT")</f>
        <v>NOT</v>
      </c>
      <c r="S255" s="79" t="str">
        <f>IF(AND(($L255&gt;0),ISBLANK(D255)),D255,"NOT")</f>
        <v>NOT</v>
      </c>
      <c r="T255" s="79" t="str">
        <f>IF(AND(($L255&gt;0),ISBLANK(F255)),F255,"NOT")</f>
        <v>NOT</v>
      </c>
      <c r="V255" s="79" t="str">
        <f>LEFT(D255,3)</f>
        <v xml:space="preserve">9. </v>
      </c>
    </row>
    <row r="256" spans="1:22" ht="38.25" x14ac:dyDescent="0.2">
      <c r="B256" s="546" t="s">
        <v>1095</v>
      </c>
      <c r="C256" s="88"/>
      <c r="D256" s="260" t="s">
        <v>990</v>
      </c>
      <c r="E256" s="243"/>
      <c r="F256" s="261" t="s">
        <v>25</v>
      </c>
      <c r="G256" s="243"/>
      <c r="H256" s="543">
        <v>676</v>
      </c>
      <c r="I256" s="243"/>
      <c r="J256" s="543">
        <v>10</v>
      </c>
      <c r="K256" s="88"/>
      <c r="L256" s="143">
        <f>TRUNC(H256*J256,2)</f>
        <v>6760</v>
      </c>
      <c r="N256" s="81"/>
      <c r="R256" s="79" t="str">
        <f>IF(AND(($L256&gt;0),ISBLANK(B256)),B256,"NOT")</f>
        <v>NOT</v>
      </c>
      <c r="S256" s="79" t="str">
        <f>IF(AND(($L256&gt;0),ISBLANK(D256)),D256,"NOT")</f>
        <v>NOT</v>
      </c>
      <c r="T256" s="79" t="str">
        <f>IF(AND(($L256&gt;0),ISBLANK(F256)),F256,"NOT")</f>
        <v>NOT</v>
      </c>
      <c r="V256" s="79" t="str">
        <f>LEFT(D256,3)</f>
        <v xml:space="preserve">9. </v>
      </c>
    </row>
    <row r="257" spans="1:22" ht="38.25" x14ac:dyDescent="0.2">
      <c r="B257" s="546" t="s">
        <v>1096</v>
      </c>
      <c r="C257" s="88"/>
      <c r="D257" s="260" t="s">
        <v>990</v>
      </c>
      <c r="E257" s="243"/>
      <c r="F257" s="261" t="s">
        <v>25</v>
      </c>
      <c r="G257" s="243"/>
      <c r="H257" s="543">
        <v>54</v>
      </c>
      <c r="I257" s="243"/>
      <c r="J257" s="543">
        <v>10</v>
      </c>
      <c r="K257" s="88"/>
      <c r="L257" s="143">
        <f>TRUNC(H257*J257,2)</f>
        <v>540</v>
      </c>
      <c r="N257" s="81"/>
      <c r="R257" s="79" t="str">
        <f>IF(AND(($L257&gt;0),ISBLANK(B257)),B257,"NOT")</f>
        <v>NOT</v>
      </c>
      <c r="S257" s="79" t="str">
        <f>IF(AND(($L257&gt;0),ISBLANK(D257)),D257,"NOT")</f>
        <v>NOT</v>
      </c>
      <c r="T257" s="79" t="str">
        <f>IF(AND(($L257&gt;0),ISBLANK(F257)),F257,"NOT")</f>
        <v>NOT</v>
      </c>
      <c r="V257" s="79" t="str">
        <f>LEFT(D257,3)</f>
        <v xml:space="preserve">9. </v>
      </c>
    </row>
    <row r="258" spans="1:22" ht="38.25" x14ac:dyDescent="0.2">
      <c r="B258" s="546" t="s">
        <v>1097</v>
      </c>
      <c r="C258" s="88"/>
      <c r="D258" s="260" t="s">
        <v>990</v>
      </c>
      <c r="E258" s="243"/>
      <c r="F258" s="261" t="s">
        <v>25</v>
      </c>
      <c r="G258" s="243"/>
      <c r="H258" s="543">
        <v>35</v>
      </c>
      <c r="I258" s="243"/>
      <c r="J258" s="543">
        <v>10</v>
      </c>
      <c r="K258" s="88"/>
      <c r="L258" s="143">
        <f>TRUNC(H258*J258,2)</f>
        <v>350</v>
      </c>
      <c r="N258" s="81"/>
      <c r="R258" s="79" t="str">
        <f>IF(AND(($L258&gt;0),ISBLANK(B258)),B258,"NOT")</f>
        <v>NOT</v>
      </c>
      <c r="S258" s="79" t="str">
        <f>IF(AND(($L258&gt;0),ISBLANK(D258)),D258,"NOT")</f>
        <v>NOT</v>
      </c>
      <c r="T258" s="79" t="str">
        <f>IF(AND(($L258&gt;0),ISBLANK(F258)),F258,"NOT")</f>
        <v>NOT</v>
      </c>
      <c r="V258" s="79" t="str">
        <f>LEFT(D258,3)</f>
        <v xml:space="preserve">9. </v>
      </c>
    </row>
    <row r="259" spans="1:22" s="76" customFormat="1" ht="12.75" customHeight="1" x14ac:dyDescent="0.2">
      <c r="A259" s="87"/>
      <c r="B259" s="88"/>
      <c r="C259" s="88"/>
      <c r="D259" s="70"/>
      <c r="E259" s="70"/>
      <c r="F259" s="70"/>
      <c r="G259" s="70"/>
      <c r="H259" s="70"/>
      <c r="I259" s="70"/>
      <c r="J259" s="70"/>
      <c r="K259" s="88"/>
      <c r="L259" s="70"/>
      <c r="M259" s="70"/>
      <c r="N259" s="70"/>
      <c r="O259" s="89"/>
      <c r="V259" s="79"/>
    </row>
    <row r="260" spans="1:22" ht="17.25" customHeight="1" x14ac:dyDescent="0.2">
      <c r="A260" s="263"/>
      <c r="B260" s="264"/>
      <c r="C260" s="265"/>
      <c r="D260" s="266"/>
      <c r="E260" s="267"/>
      <c r="F260" s="266"/>
      <c r="G260" s="267"/>
      <c r="H260" s="266"/>
      <c r="I260" s="267"/>
      <c r="J260" s="266"/>
      <c r="K260" s="265"/>
      <c r="L260" s="266"/>
      <c r="M260" s="267"/>
      <c r="N260" s="268"/>
    </row>
    <row r="261" spans="1:22" hidden="1" x14ac:dyDescent="0.2"/>
    <row r="262" spans="1:22" ht="25.5" hidden="1" x14ac:dyDescent="0.2">
      <c r="C262" s="44" t="str">
        <f>LEFT(D262,3)</f>
        <v xml:space="preserve">1. </v>
      </c>
      <c r="D262" s="465" t="str">
        <f>CONCATENATE('6. Project Activities'!A10," ",'6. Project Activities'!B10)</f>
        <v>1. Project administration and management</v>
      </c>
      <c r="L262" s="44">
        <f t="shared" ref="L262:L285" si="48">SUMIF($V$11:$V$259,C262,$L$11:$L$259)</f>
        <v>3724.5</v>
      </c>
    </row>
    <row r="263" spans="1:22" hidden="1" x14ac:dyDescent="0.2">
      <c r="C263" s="44" t="str">
        <f t="shared" ref="C263:C285" si="49">LEFT(D263,3)</f>
        <v xml:space="preserve">2. </v>
      </c>
      <c r="D263" s="465" t="str">
        <f>CONCATENATE('6. Project Activities'!A11," ",'6. Project Activities'!B11)</f>
        <v>2. Information and publicity</v>
      </c>
      <c r="L263" s="44">
        <f t="shared" si="48"/>
        <v>0</v>
      </c>
    </row>
    <row r="264" spans="1:22" ht="38.25" hidden="1" x14ac:dyDescent="0.2">
      <c r="C264" s="44" t="str">
        <f t="shared" si="49"/>
        <v xml:space="preserve">3. </v>
      </c>
      <c r="D264" s="465" t="str">
        <f>CONCATENATE('6. Project Activities'!A12," ",'6. Project Activities'!B12)</f>
        <v>3. Activity 3.1: Organisation of project conferences and regular press conferences</v>
      </c>
      <c r="L264" s="44">
        <f t="shared" si="48"/>
        <v>0</v>
      </c>
    </row>
    <row r="265" spans="1:22" ht="38.25" hidden="1" x14ac:dyDescent="0.2">
      <c r="C265" s="44" t="str">
        <f t="shared" si="49"/>
        <v xml:space="preserve">4. </v>
      </c>
      <c r="D265" s="465" t="str">
        <f>CONCATENATE('6. Project Activities'!A13," ",'6. Project Activities'!B13)</f>
        <v>4. Activity 3.2: Creation and regular updating of project website, project presence in Social media</v>
      </c>
      <c r="L265" s="44">
        <f t="shared" si="48"/>
        <v>0</v>
      </c>
    </row>
    <row r="266" spans="1:22" ht="25.5" hidden="1" x14ac:dyDescent="0.2">
      <c r="C266" s="44" t="str">
        <f t="shared" si="49"/>
        <v xml:space="preserve">5. </v>
      </c>
      <c r="D266" s="465" t="str">
        <f>CONCATENATE('6. Project Activities'!A14," ",'6. Project Activities'!B14)</f>
        <v>5. Activity 3.3: Development of multilingual mobile App</v>
      </c>
      <c r="L266" s="44">
        <f t="shared" si="48"/>
        <v>0</v>
      </c>
    </row>
    <row r="267" spans="1:22" ht="38.25" hidden="1" x14ac:dyDescent="0.2">
      <c r="C267" s="44" t="str">
        <f t="shared" si="49"/>
        <v xml:space="preserve">6. </v>
      </c>
      <c r="D267" s="465" t="str">
        <f>CONCATENATE('6. Project Activities'!A15," ",'6. Project Activities'!B15)</f>
        <v>6. Activity 3.4: Organisation of local and cross-border events for cyclists</v>
      </c>
      <c r="L267" s="44">
        <f t="shared" si="48"/>
        <v>0</v>
      </c>
    </row>
    <row r="268" spans="1:22" ht="38.25" hidden="1" x14ac:dyDescent="0.2">
      <c r="C268" s="44" t="str">
        <f t="shared" si="49"/>
        <v xml:space="preserve">7. </v>
      </c>
      <c r="D268" s="465" t="str">
        <f>CONCATENATE('6. Project Activities'!A16," ",'6. Project Activities'!B16)</f>
        <v>7. Activity 3.5: Organisation of Summer Cycling Camp for primary school kids in Croatia</v>
      </c>
      <c r="L268" s="44">
        <f t="shared" si="48"/>
        <v>0</v>
      </c>
    </row>
    <row r="269" spans="1:22" ht="38.25" hidden="1" x14ac:dyDescent="0.2">
      <c r="C269" s="44" t="str">
        <f t="shared" si="49"/>
        <v xml:space="preserve">8. </v>
      </c>
      <c r="D269" s="465" t="str">
        <f>CONCATENATE('6. Project Activities'!A17," ",'6. Project Activities'!B17)</f>
        <v>8. Activity 3.6: Organisation of “Safety in traffic for cyclists” workshops</v>
      </c>
      <c r="L269" s="44">
        <f t="shared" si="48"/>
        <v>0</v>
      </c>
    </row>
    <row r="270" spans="1:22" ht="38.25" hidden="1" x14ac:dyDescent="0.2">
      <c r="C270" s="44" t="str">
        <f t="shared" si="49"/>
        <v xml:space="preserve">9. </v>
      </c>
      <c r="D270" s="465" t="str">
        <f>CONCATENATE('6. Project Activities'!A18," ",'6. Project Activities'!B18)</f>
        <v>9. Activity 4.1: Development of missing sections of the bicycle routes in Ludbreg area</v>
      </c>
      <c r="L270" s="44">
        <f t="shared" si="48"/>
        <v>174550</v>
      </c>
    </row>
    <row r="271" spans="1:22" ht="38.25" hidden="1" x14ac:dyDescent="0.2">
      <c r="C271" s="44" t="str">
        <f t="shared" si="49"/>
        <v>10.</v>
      </c>
      <c r="D271" s="465" t="str">
        <f>CONCATENATE('6. Project Activities'!A19," ",'6. Project Activities'!B19)</f>
        <v>10. Activity 4.2: Adaptation and arrangement of the part of a local road Ludbreg</v>
      </c>
      <c r="L271" s="44">
        <f t="shared" si="48"/>
        <v>0</v>
      </c>
    </row>
    <row r="272" spans="1:22" ht="25.5" hidden="1" x14ac:dyDescent="0.2">
      <c r="C272" s="44" t="str">
        <f t="shared" si="49"/>
        <v>11.</v>
      </c>
      <c r="D272" s="465" t="str">
        <f>CONCATENATE('6. Project Activities'!A20," ",'6. Project Activities'!B20)</f>
        <v>11. Activity 4.3: Establishment of Cyclist Centre in Letenye</v>
      </c>
      <c r="L272" s="44">
        <f t="shared" si="48"/>
        <v>0</v>
      </c>
    </row>
    <row r="273" spans="3:12" ht="51" hidden="1" x14ac:dyDescent="0.2">
      <c r="C273" s="44" t="str">
        <f t="shared" si="49"/>
        <v>12.</v>
      </c>
      <c r="D273" s="465" t="str">
        <f>CONCATENATE('6. Project Activities'!A21," ",'6. Project Activities'!B21)</f>
        <v>12. Activity 4.4: Preparation of technical documentation for obtaining a building permit for bike paths" - Draškovec Oporovec</v>
      </c>
      <c r="L273" s="44">
        <f t="shared" si="48"/>
        <v>0</v>
      </c>
    </row>
    <row r="274" spans="3:12" ht="38.25" hidden="1" x14ac:dyDescent="0.2">
      <c r="C274" s="44" t="str">
        <f t="shared" si="49"/>
        <v>13.</v>
      </c>
      <c r="D274" s="465" t="str">
        <f>CONCATENATE('6. Project Activities'!A22," ",'6. Project Activities'!B22)</f>
        <v>13. Activity 4.5: Adaptation/reconstruction of the restplace for cyclist in Oporovec</v>
      </c>
      <c r="L274" s="44">
        <f t="shared" si="48"/>
        <v>0</v>
      </c>
    </row>
    <row r="275" spans="3:12" ht="51" hidden="1" x14ac:dyDescent="0.2">
      <c r="C275" s="44" t="str">
        <f t="shared" si="49"/>
        <v>14.</v>
      </c>
      <c r="D275" s="465" t="str">
        <f>CONCATENATE('6. Project Activities'!A23," ",'6. Project Activities'!B23)</f>
        <v>14. Activity 4.6: Establishment of restplaces, info points and installation of information boards alongside the bicycle routes</v>
      </c>
      <c r="L275" s="44">
        <f t="shared" si="48"/>
        <v>0</v>
      </c>
    </row>
    <row r="276" spans="3:12" hidden="1" x14ac:dyDescent="0.2">
      <c r="C276" s="44" t="str">
        <f t="shared" si="49"/>
        <v>15.</v>
      </c>
      <c r="D276" s="465" t="str">
        <f>CONCATENATE('6. Project Activities'!A24," ",'6. Project Activities'!B24)</f>
        <v xml:space="preserve">15. </v>
      </c>
      <c r="L276" s="44">
        <f t="shared" si="48"/>
        <v>0</v>
      </c>
    </row>
    <row r="277" spans="3:12" hidden="1" x14ac:dyDescent="0.2">
      <c r="C277" s="44" t="str">
        <f t="shared" si="49"/>
        <v>16.</v>
      </c>
      <c r="D277" s="465" t="str">
        <f>CONCATENATE('6. Project Activities'!A25," ",'6. Project Activities'!B25)</f>
        <v xml:space="preserve">16. </v>
      </c>
      <c r="L277" s="44">
        <f t="shared" si="48"/>
        <v>0</v>
      </c>
    </row>
    <row r="278" spans="3:12" hidden="1" x14ac:dyDescent="0.2">
      <c r="C278" s="44" t="str">
        <f t="shared" si="49"/>
        <v>17.</v>
      </c>
      <c r="D278" s="465" t="str">
        <f>CONCATENATE('6. Project Activities'!A26," ",'6. Project Activities'!B26)</f>
        <v xml:space="preserve">17. </v>
      </c>
      <c r="L278" s="44">
        <f t="shared" si="48"/>
        <v>0</v>
      </c>
    </row>
    <row r="279" spans="3:12" hidden="1" x14ac:dyDescent="0.2">
      <c r="C279" s="44" t="str">
        <f t="shared" si="49"/>
        <v>18.</v>
      </c>
      <c r="D279" s="465" t="str">
        <f>CONCATENATE('6. Project Activities'!A27," ",'6. Project Activities'!B27)</f>
        <v xml:space="preserve">18. </v>
      </c>
      <c r="L279" s="44">
        <f t="shared" si="48"/>
        <v>0</v>
      </c>
    </row>
    <row r="280" spans="3:12" hidden="1" x14ac:dyDescent="0.2">
      <c r="C280" s="44" t="str">
        <f t="shared" si="49"/>
        <v>19.</v>
      </c>
      <c r="D280" s="465" t="str">
        <f>CONCATENATE('6. Project Activities'!A28," ",'6. Project Activities'!B28)</f>
        <v xml:space="preserve">19. </v>
      </c>
      <c r="L280" s="44">
        <f t="shared" si="48"/>
        <v>0</v>
      </c>
    </row>
    <row r="281" spans="3:12" hidden="1" x14ac:dyDescent="0.2">
      <c r="C281" s="44" t="str">
        <f t="shared" si="49"/>
        <v>20.</v>
      </c>
      <c r="D281" s="465" t="str">
        <f>CONCATENATE('6. Project Activities'!A29," ",'6. Project Activities'!B29)</f>
        <v xml:space="preserve">20. </v>
      </c>
      <c r="L281" s="44">
        <f t="shared" si="48"/>
        <v>0</v>
      </c>
    </row>
    <row r="282" spans="3:12" hidden="1" x14ac:dyDescent="0.2">
      <c r="C282" s="44" t="str">
        <f t="shared" si="49"/>
        <v>21.</v>
      </c>
      <c r="D282" s="465" t="str">
        <f>CONCATENATE('6. Project Activities'!A30," ",'6. Project Activities'!B30)</f>
        <v xml:space="preserve">21. </v>
      </c>
      <c r="L282" s="44">
        <f t="shared" si="48"/>
        <v>0</v>
      </c>
    </row>
    <row r="283" spans="3:12" hidden="1" x14ac:dyDescent="0.2">
      <c r="C283" s="44" t="str">
        <f t="shared" si="49"/>
        <v>22.</v>
      </c>
      <c r="D283" s="465" t="str">
        <f>CONCATENATE('6. Project Activities'!A31," ",'6. Project Activities'!B31)</f>
        <v xml:space="preserve">22. </v>
      </c>
      <c r="L283" s="44">
        <f t="shared" si="48"/>
        <v>0</v>
      </c>
    </row>
    <row r="284" spans="3:12" hidden="1" x14ac:dyDescent="0.2">
      <c r="C284" s="44" t="str">
        <f t="shared" si="49"/>
        <v>23.</v>
      </c>
      <c r="D284" s="465" t="str">
        <f>CONCATENATE('6. Project Activities'!A32," ",'6. Project Activities'!B32)</f>
        <v xml:space="preserve">23. </v>
      </c>
      <c r="L284" s="44">
        <f t="shared" si="48"/>
        <v>0</v>
      </c>
    </row>
    <row r="285" spans="3:12" hidden="1" x14ac:dyDescent="0.2">
      <c r="C285" s="44" t="str">
        <f t="shared" si="49"/>
        <v>24.</v>
      </c>
      <c r="D285" s="465" t="str">
        <f>CONCATENATE('6. Project Activities'!A33," ",'6. Project Activities'!B33)</f>
        <v xml:space="preserve">24. </v>
      </c>
      <c r="L285" s="44">
        <f t="shared" si="48"/>
        <v>0</v>
      </c>
    </row>
    <row r="286" spans="3:12" x14ac:dyDescent="0.2">
      <c r="C286" s="44"/>
    </row>
    <row r="287" spans="3:12" x14ac:dyDescent="0.2">
      <c r="C287" s="44"/>
    </row>
    <row r="288" spans="3:12" x14ac:dyDescent="0.2">
      <c r="C288" s="44"/>
    </row>
    <row r="289" spans="3:3" x14ac:dyDescent="0.2">
      <c r="C289" s="44"/>
    </row>
    <row r="290" spans="3:3" x14ac:dyDescent="0.2">
      <c r="C290" s="44"/>
    </row>
    <row r="291" spans="3:3" x14ac:dyDescent="0.2">
      <c r="C291" s="44"/>
    </row>
  </sheetData>
  <sheetProtection password="F58B" sheet="1" objects="1" scenarios="1" formatCells="0" selectLockedCells="1"/>
  <mergeCells count="60">
    <mergeCell ref="B17:L17"/>
    <mergeCell ref="D62:H62"/>
    <mergeCell ref="B48:L48"/>
    <mergeCell ref="B18:F18"/>
    <mergeCell ref="B20:L20"/>
    <mergeCell ref="D40:H40"/>
    <mergeCell ref="D42:H42"/>
    <mergeCell ref="D44:H44"/>
    <mergeCell ref="B46:F46"/>
    <mergeCell ref="A1:B1"/>
    <mergeCell ref="D1:N1"/>
    <mergeCell ref="D14:H14"/>
    <mergeCell ref="B15:L15"/>
    <mergeCell ref="D16:H16"/>
    <mergeCell ref="D3:N3"/>
    <mergeCell ref="D5:N5"/>
    <mergeCell ref="D8:H8"/>
    <mergeCell ref="D10:H10"/>
    <mergeCell ref="D12:H12"/>
    <mergeCell ref="D99:H99"/>
    <mergeCell ref="D80:H80"/>
    <mergeCell ref="B82:F82"/>
    <mergeCell ref="B84:L84"/>
    <mergeCell ref="B64:F64"/>
    <mergeCell ref="B66:L66"/>
    <mergeCell ref="D101:H101"/>
    <mergeCell ref="B103:F103"/>
    <mergeCell ref="B105:L105"/>
    <mergeCell ref="D112:H112"/>
    <mergeCell ref="B114:F114"/>
    <mergeCell ref="B116:L116"/>
    <mergeCell ref="D130:H130"/>
    <mergeCell ref="B132:F132"/>
    <mergeCell ref="B134:L134"/>
    <mergeCell ref="D148:H148"/>
    <mergeCell ref="B149:L149"/>
    <mergeCell ref="B150:F150"/>
    <mergeCell ref="B152:L152"/>
    <mergeCell ref="D162:H162"/>
    <mergeCell ref="B164:F164"/>
    <mergeCell ref="B166:L166"/>
    <mergeCell ref="D174:H174"/>
    <mergeCell ref="B176:F176"/>
    <mergeCell ref="B232:F232"/>
    <mergeCell ref="B178:L178"/>
    <mergeCell ref="D192:H192"/>
    <mergeCell ref="B194:F194"/>
    <mergeCell ref="B196:L196"/>
    <mergeCell ref="D206:H206"/>
    <mergeCell ref="D208:H208"/>
    <mergeCell ref="B210:F210"/>
    <mergeCell ref="B212:L212"/>
    <mergeCell ref="D226:H226"/>
    <mergeCell ref="F228:H228"/>
    <mergeCell ref="D230:H230"/>
    <mergeCell ref="B234:L234"/>
    <mergeCell ref="D248:H248"/>
    <mergeCell ref="B249:J249"/>
    <mergeCell ref="B250:F250"/>
    <mergeCell ref="B252:L252"/>
  </mergeCells>
  <phoneticPr fontId="3" type="noConversion"/>
  <conditionalFormatting sqref="D16:H16 B18:F18 D62:H62 D44:H44 B64:F64 B46:F46 D80:H80 B82:F82 D112:H112 D101:H101 B114:F114 B103:F103 D130:H130 B132:F132 D148:H148 B150:F150 D162:H162 B164:F164 D174:H174 D192:H192 D208:H208 B210:F210 D248:H248 D230:H230 B250:F250 B232:F232">
    <cfRule type="cellIs" dxfId="196" priority="11" stopIfTrue="1" operator="equal">
      <formula>$R16</formula>
    </cfRule>
  </conditionalFormatting>
  <conditionalFormatting sqref="D12:H12 D99:H99 D228:E228">
    <cfRule type="cellIs" dxfId="195" priority="12" stopIfTrue="1" operator="equal">
      <formula>$Q12</formula>
    </cfRule>
  </conditionalFormatting>
  <conditionalFormatting sqref="B149:L149">
    <cfRule type="cellIs" dxfId="194" priority="15" stopIfTrue="1" operator="equal">
      <formula>$Q$149</formula>
    </cfRule>
  </conditionalFormatting>
  <conditionalFormatting sqref="B17:L17">
    <cfRule type="cellIs" dxfId="193" priority="16" stopIfTrue="1" operator="equal">
      <formula>$Q$17</formula>
    </cfRule>
  </conditionalFormatting>
  <conditionalFormatting sqref="F228:H228">
    <cfRule type="cellIs" dxfId="192" priority="21" stopIfTrue="1" operator="equal">
      <formula>$R$228</formula>
    </cfRule>
  </conditionalFormatting>
  <conditionalFormatting sqref="D206:H206">
    <cfRule type="cellIs" dxfId="191" priority="22" stopIfTrue="1" operator="equal">
      <formula>$Q$206</formula>
    </cfRule>
  </conditionalFormatting>
  <conditionalFormatting sqref="D14:H14">
    <cfRule type="cellIs" dxfId="190" priority="10" stopIfTrue="1" operator="equal">
      <formula>$Q14</formula>
    </cfRule>
  </conditionalFormatting>
  <conditionalFormatting sqref="D42:H42">
    <cfRule type="cellIs" dxfId="189" priority="6" stopIfTrue="1" operator="equal">
      <formula>$Q42</formula>
    </cfRule>
  </conditionalFormatting>
  <conditionalFormatting sqref="B15:L15">
    <cfRule type="cellIs" dxfId="188" priority="5" stopIfTrue="1" operator="equal">
      <formula>$P$15</formula>
    </cfRule>
  </conditionalFormatting>
  <conditionalFormatting sqref="B249:J249">
    <cfRule type="cellIs" dxfId="187" priority="4" stopIfTrue="1" operator="equal">
      <formula>$Q$248</formula>
    </cfRule>
  </conditionalFormatting>
  <conditionalFormatting sqref="B194:F194">
    <cfRule type="cellIs" dxfId="186" priority="3" stopIfTrue="1" operator="equal">
      <formula>$R194</formula>
    </cfRule>
  </conditionalFormatting>
  <conditionalFormatting sqref="B176:F176">
    <cfRule type="cellIs" dxfId="185" priority="2" stopIfTrue="1" operator="equal">
      <formula>$R176</formula>
    </cfRule>
  </conditionalFormatting>
  <conditionalFormatting sqref="D8:H8">
    <cfRule type="cellIs" dxfId="184" priority="1" stopIfTrue="1" operator="equal">
      <formula>O$8</formula>
    </cfRule>
  </conditionalFormatting>
  <dataValidations count="5">
    <dataValidation type="list" allowBlank="1" showInputMessage="1" showErrorMessage="1" sqref="D14:H14">
      <formula1>$V$14:$V$16</formula1>
    </dataValidation>
    <dataValidation type="decimal" operator="greaterThanOrEqual" allowBlank="1" showInputMessage="1" showErrorMessage="1" sqref="H237:H246 H199:H203 J169:J172 H169:H172 J155:J160 H137:H146 H108:H110 J108:J110 H87:H96 J87:J96 H69:H78 J69:J78 H51:H60 J51:J60 J23:J37 H23:H37 J137:J146 H119:H128 H155:H160 J119:J128 H181:H190 J181:J190 H215:H224 J215:J224 J199:J203 J237:J246 H255:H258 J255:J258">
      <formula1>0</formula1>
    </dataValidation>
    <dataValidation type="list" allowBlank="1" showInputMessage="1" showErrorMessage="1" sqref="D199:D203 D255:D258 D237:D246 D215:D224 D108:D110 D87:D96 D69:D78 D23:D37 D51:D60 D119:D128 D137:D146 D155:D160 D169:D172 D181:D190">
      <formula1>$D$262:$D$285</formula1>
    </dataValidation>
    <dataValidation type="decimal" allowBlank="1" showInputMessage="1" showErrorMessage="1" sqref="L260 D260 H260 J260 F260 L230 L232:L233 D233 F233 F235 L235 D235 J235 H232:H233 L247:L248 D247 L250:L251 F247 J247 H247 D251 H235 J232:J233 N236:N246 F251 F253 L253 D253 J253 H250:H251 H253 J250:J251 F227 D227 H227 J227 L194:L195 D195 F195 F197 L197 D197 J197 H194:H195 H197 J194:J195 N198:N203 H191 J191 F191 L191:L192 D191 L164:L165 D165 F165 F167 L167 D167 J167 H164:H165 H167 J164:J165 N168:N172 N154:N160 L111:L112 D111 L114:L115 F111 J111 H111 D115 F115 F117 L117 D117 J117 H114:H115 H117 J114:J115 N118:N128 L130 L132:L133 D133 F133 F135 L135 D135 J135 H132:H133 H135 J132:J133 N107:N110 J103:J104 H106 H103:H104 J106 D106 L106 F106 F104 D104 L103:L104 L101 D97:D98 H97:H98 J97:J98 F97:F98 L97:L98 J82:J83 H85 H82:H83 J85 D85 L85 F85 F83 D83 L82:L83 L80 N68:N78 J64:J65 H67 H64:H65 J67 D67 L67 F67 F65 N50:N60 J46:J47 H49 D65 H61 J61 F61 L64:L65 D61 L61:L62 H46:H47 J49 D49 L49 F49 F47 D47 L46:L47 L44 N86:N96 D41 H41 J41 F41 N254:N258 L16 H18:H19 D11 H11 J11 F11 L11 D19 L18:L19 H21 J18:J19 J21 D21 L21 F21 N136:N146 J150:J151 H153 H150:H151 J153 D153 L153 F153 F151 D151 L150:L151 L148 F19 J176:J177 H179 H176:H177 J179 D179 L179 F179 F177 D177 L176:L177 L174 N180:N190 H204:H205 D204:D205 L204:L205 F204:F205 J204:J205 N214:N224 J210:J211 H213 H225 J225 F225 D225 L225:L227 H210:H211 J213 D213 L213 F213 F211 D211 L210:L211 L208 N22:N37 F38:F39 J38:J39 H38:H39 D38:D39 L38:L39 L41 L162 L14">
      <formula1>0</formula1>
      <formula2>99999999.99</formula2>
    </dataValidation>
    <dataValidation type="whole" allowBlank="1" showInputMessage="1" showErrorMessage="1" sqref="L10">
      <formula1>0</formula1>
      <formula2>3000</formula2>
    </dataValidation>
  </dataValidations>
  <pageMargins left="0.6692913385826772" right="0.15748031496062992" top="0.31496062992125984" bottom="0.31496062992125984" header="0.15748031496062992" footer="0.11811023622047245"/>
  <pageSetup scale="82" fitToHeight="12" orientation="landscape" r:id="rId1"/>
  <headerFooter>
    <oddFooter xml:space="preserve">&amp;C&amp;"Arial,Italic"&amp;A&amp;R&amp;"Arial,Italic"Page &amp;P of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1"/>
  <sheetViews>
    <sheetView workbookViewId="0">
      <selection activeCell="E35" sqref="E35"/>
    </sheetView>
  </sheetViews>
  <sheetFormatPr defaultColWidth="9.140625" defaultRowHeight="12.75" x14ac:dyDescent="0.2"/>
  <cols>
    <col min="1" max="1" width="4.42578125" style="3" customWidth="1"/>
    <col min="2" max="2" width="8.140625" style="3" customWidth="1"/>
    <col min="3" max="3" width="11.28515625" style="3" customWidth="1"/>
    <col min="4" max="4" width="0.42578125" style="3" customWidth="1"/>
    <col min="5" max="5" width="10.7109375" style="3" customWidth="1"/>
    <col min="6" max="6" width="0.42578125" style="3" customWidth="1"/>
    <col min="7" max="7" width="11.28515625" style="3" customWidth="1"/>
    <col min="8" max="8" width="0.42578125" style="3" customWidth="1"/>
    <col min="9" max="9" width="11.28515625" style="3" customWidth="1"/>
    <col min="10" max="10" width="0.42578125" style="3" customWidth="1"/>
    <col min="11" max="11" width="11.28515625" style="3" customWidth="1"/>
    <col min="12" max="12" width="0.42578125" style="3" customWidth="1"/>
    <col min="13" max="13" width="11.28515625" style="3" customWidth="1"/>
    <col min="14" max="14" width="0.42578125" style="3" customWidth="1"/>
    <col min="15" max="15" width="11.28515625" style="3" customWidth="1"/>
    <col min="16" max="18" width="9.140625" style="3" hidden="1" customWidth="1"/>
    <col min="19" max="19" width="11.28515625" style="3" hidden="1" customWidth="1"/>
    <col min="20" max="24" width="9.140625" style="3" hidden="1" customWidth="1"/>
    <col min="25" max="25" width="15.28515625" style="3" hidden="1" customWidth="1"/>
    <col min="26" max="26" width="9.140625" style="3" hidden="1" customWidth="1"/>
    <col min="27" max="16384" width="9.140625" style="3"/>
  </cols>
  <sheetData>
    <row r="1" spans="1:25" x14ac:dyDescent="0.2">
      <c r="A1" s="2"/>
      <c r="B1" s="2"/>
      <c r="C1" s="2"/>
      <c r="D1" s="2"/>
      <c r="E1" s="2"/>
      <c r="F1" s="2"/>
      <c r="G1" s="2"/>
      <c r="H1" s="2"/>
      <c r="I1" s="2"/>
      <c r="J1" s="2"/>
      <c r="K1" s="2"/>
      <c r="L1" s="2"/>
      <c r="M1" s="2"/>
      <c r="N1" s="2"/>
      <c r="O1" s="2"/>
      <c r="P1" s="3">
        <v>1</v>
      </c>
      <c r="Q1" s="3">
        <v>2015</v>
      </c>
      <c r="Y1" s="170" t="s">
        <v>223</v>
      </c>
    </row>
    <row r="2" spans="1:25" ht="25.5" customHeight="1" thickBot="1" x14ac:dyDescent="0.25">
      <c r="A2" s="587" t="s">
        <v>274</v>
      </c>
      <c r="B2" s="588"/>
      <c r="C2" s="589"/>
      <c r="D2" s="589"/>
      <c r="E2" s="589"/>
      <c r="F2" s="589"/>
      <c r="G2" s="589"/>
      <c r="H2" s="589"/>
      <c r="I2" s="589"/>
      <c r="J2" s="589"/>
      <c r="K2" s="589"/>
      <c r="L2" s="589"/>
      <c r="M2" s="589"/>
      <c r="N2" s="589"/>
      <c r="O2" s="589"/>
      <c r="P2" s="3">
        <v>2</v>
      </c>
      <c r="Q2" s="3">
        <v>2016</v>
      </c>
      <c r="X2" s="3" t="s">
        <v>549</v>
      </c>
      <c r="Y2" s="3" t="str">
        <f>IF(Q48&lt;&gt;FALSE,A48,"-")</f>
        <v>Letenye</v>
      </c>
    </row>
    <row r="3" spans="1:25" ht="25.5" customHeight="1" thickBot="1" x14ac:dyDescent="0.25">
      <c r="A3" s="600" t="s">
        <v>86</v>
      </c>
      <c r="B3" s="601"/>
      <c r="C3" s="590"/>
      <c r="D3" s="591"/>
      <c r="E3" s="591"/>
      <c r="F3" s="591"/>
      <c r="G3" s="592"/>
      <c r="H3" s="598" t="s">
        <v>98</v>
      </c>
      <c r="I3" s="599"/>
      <c r="J3" s="595" t="str">
        <f>CONCATENATE(R12)</f>
        <v>HUHR/1601/</v>
      </c>
      <c r="K3" s="596"/>
      <c r="L3" s="596"/>
      <c r="M3" s="596"/>
      <c r="N3" s="596"/>
      <c r="O3" s="597"/>
      <c r="P3" s="3">
        <v>3</v>
      </c>
      <c r="Q3" s="3">
        <v>2017</v>
      </c>
      <c r="X3" s="3" t="s">
        <v>550</v>
      </c>
      <c r="Y3" s="3" t="str">
        <f>IF(Q51&lt;&gt;FALSE,A51,"-")</f>
        <v>GP</v>
      </c>
    </row>
    <row r="4" spans="1:25" ht="8.25" customHeight="1" x14ac:dyDescent="0.2">
      <c r="A4" s="5"/>
      <c r="B4" s="5"/>
      <c r="C4" s="5"/>
      <c r="D4" s="5"/>
      <c r="E4" s="5"/>
      <c r="F4" s="5"/>
      <c r="G4" s="5"/>
      <c r="H4" s="5"/>
      <c r="J4" s="5"/>
      <c r="P4" s="3">
        <v>4</v>
      </c>
      <c r="Q4" s="3">
        <v>2018</v>
      </c>
      <c r="X4" s="3" t="s">
        <v>551</v>
      </c>
      <c r="Y4" s="3" t="str">
        <f>IF(Q53&lt;&gt;FALSE,A53,"-")</f>
        <v>Grad Ludbreg</v>
      </c>
    </row>
    <row r="5" spans="1:25" ht="88.5" customHeight="1" x14ac:dyDescent="0.25">
      <c r="A5" s="6"/>
      <c r="B5" s="6"/>
      <c r="C5" s="5"/>
      <c r="D5" s="5"/>
      <c r="E5" s="5"/>
      <c r="F5" s="5"/>
      <c r="G5" s="5"/>
      <c r="H5" s="5"/>
      <c r="J5" s="5"/>
      <c r="M5"/>
      <c r="P5" s="3">
        <v>5</v>
      </c>
      <c r="Q5" s="3">
        <v>2019</v>
      </c>
      <c r="X5" s="3" t="s">
        <v>552</v>
      </c>
      <c r="Y5" s="3" t="str">
        <f>IF(Q55&lt;&gt;FALSE,A55,"-")</f>
        <v>ŽUC Varaždin</v>
      </c>
    </row>
    <row r="6" spans="1:25" ht="23.25" x14ac:dyDescent="0.35">
      <c r="A6" s="593" t="s">
        <v>97</v>
      </c>
      <c r="B6" s="593"/>
      <c r="C6" s="594"/>
      <c r="D6" s="594"/>
      <c r="E6" s="594"/>
      <c r="F6" s="594"/>
      <c r="G6" s="594"/>
      <c r="H6" s="594"/>
      <c r="I6" s="594"/>
      <c r="J6" s="594"/>
      <c r="K6" s="594"/>
      <c r="L6" s="594"/>
      <c r="M6" s="594"/>
      <c r="N6" s="594"/>
      <c r="O6" s="594"/>
      <c r="P6" s="3">
        <v>6</v>
      </c>
      <c r="Q6" s="3">
        <v>2020</v>
      </c>
      <c r="X6" s="3" t="s">
        <v>553</v>
      </c>
      <c r="Y6" s="3" t="str">
        <f>IF(Q57&lt;&gt;FALSE,A57,"-")</f>
        <v>-</v>
      </c>
    </row>
    <row r="7" spans="1:25" ht="15" x14ac:dyDescent="0.2">
      <c r="A7" s="8"/>
      <c r="B7" s="8"/>
      <c r="C7" s="5"/>
      <c r="D7" s="5"/>
      <c r="E7" s="5"/>
      <c r="F7" s="5"/>
      <c r="G7" s="5"/>
      <c r="H7" s="5"/>
      <c r="J7" s="5"/>
      <c r="P7" s="3">
        <v>7</v>
      </c>
      <c r="Q7" s="3">
        <v>2021</v>
      </c>
      <c r="X7" s="3" t="s">
        <v>554</v>
      </c>
      <c r="Y7" s="3" t="str">
        <f>IF(Q59&lt;&gt;FALSE,A59,"-")</f>
        <v>-</v>
      </c>
    </row>
    <row r="8" spans="1:25" ht="33" customHeight="1" x14ac:dyDescent="0.2">
      <c r="A8" s="614" t="s">
        <v>320</v>
      </c>
      <c r="B8" s="614"/>
      <c r="C8" s="615"/>
      <c r="D8" s="615"/>
      <c r="E8" s="615"/>
      <c r="F8" s="615"/>
      <c r="G8" s="615"/>
      <c r="H8" s="615"/>
      <c r="I8" s="615"/>
      <c r="J8" s="615"/>
      <c r="K8" s="615"/>
      <c r="L8" s="615"/>
      <c r="M8" s="615"/>
      <c r="N8" s="615"/>
      <c r="O8" s="615"/>
      <c r="P8" s="3">
        <v>8</v>
      </c>
      <c r="X8" s="3" t="s">
        <v>555</v>
      </c>
      <c r="Y8" s="3" t="str">
        <f>IF(Q61&lt;&gt;FALSE,A61,"-")</f>
        <v>-</v>
      </c>
    </row>
    <row r="9" spans="1:25" ht="33" customHeight="1" x14ac:dyDescent="0.2">
      <c r="C9" s="621" t="s">
        <v>318</v>
      </c>
      <c r="D9" s="621"/>
      <c r="E9" s="622"/>
      <c r="F9" s="622"/>
      <c r="G9" s="622"/>
      <c r="H9" s="622"/>
      <c r="I9" s="622"/>
      <c r="J9" s="622"/>
      <c r="K9" s="622"/>
      <c r="L9" s="622"/>
      <c r="M9" s="623"/>
      <c r="P9" s="3">
        <v>9</v>
      </c>
      <c r="X9" s="3" t="s">
        <v>556</v>
      </c>
      <c r="Y9" s="3" t="str">
        <f>IF(Q63&lt;&gt;FALSE,A63,"-")</f>
        <v>-</v>
      </c>
    </row>
    <row r="10" spans="1:25" ht="15" x14ac:dyDescent="0.25">
      <c r="A10" s="9"/>
      <c r="B10" s="9"/>
      <c r="D10" s="228"/>
      <c r="E10" s="628" t="s">
        <v>88</v>
      </c>
      <c r="F10" s="629"/>
      <c r="G10" s="629"/>
      <c r="H10" s="629"/>
      <c r="I10" s="629"/>
      <c r="J10" s="629"/>
      <c r="K10" s="629"/>
      <c r="L10" s="229"/>
      <c r="M10" s="230" t="str">
        <f>T10</f>
        <v>60 /chr.</v>
      </c>
      <c r="N10" s="10"/>
      <c r="P10" s="3">
        <v>10</v>
      </c>
      <c r="Q10" s="2" t="str">
        <f>IF(C11="",FALSE,E10)</f>
        <v>Project title (max.200 characters)</v>
      </c>
      <c r="R10" s="3">
        <f>LEN(C11)</f>
        <v>60</v>
      </c>
      <c r="S10" s="3" t="s">
        <v>79</v>
      </c>
      <c r="T10" s="3" t="str">
        <f>CONCATENATE(R10,S10)</f>
        <v>60 /chr.</v>
      </c>
    </row>
    <row r="11" spans="1:25" ht="74.25" customHeight="1" x14ac:dyDescent="0.2">
      <c r="C11" s="580" t="s">
        <v>661</v>
      </c>
      <c r="D11" s="616"/>
      <c r="E11" s="616"/>
      <c r="F11" s="616"/>
      <c r="G11" s="616"/>
      <c r="H11" s="616"/>
      <c r="I11" s="616"/>
      <c r="J11" s="616"/>
      <c r="K11" s="616"/>
      <c r="L11" s="616"/>
      <c r="M11" s="617"/>
      <c r="N11" s="172"/>
      <c r="P11" s="3">
        <v>11</v>
      </c>
      <c r="R11" s="170" t="str">
        <f>CONCATENATE(R12,S12)</f>
        <v>HUHR/1601/</v>
      </c>
      <c r="S11" s="3" t="s">
        <v>375</v>
      </c>
      <c r="T11" s="11" t="s">
        <v>42</v>
      </c>
      <c r="U11" s="11" t="s">
        <v>89</v>
      </c>
      <c r="V11" s="11" t="s">
        <v>90</v>
      </c>
    </row>
    <row r="12" spans="1:25" ht="6" customHeight="1" x14ac:dyDescent="0.2">
      <c r="C12" s="12"/>
      <c r="D12" s="12"/>
      <c r="E12" s="12"/>
      <c r="F12" s="12"/>
      <c r="G12" s="12"/>
      <c r="H12" s="12"/>
      <c r="I12" s="12"/>
      <c r="J12" s="12"/>
      <c r="K12" s="12"/>
      <c r="P12" s="3">
        <v>12</v>
      </c>
      <c r="R12" s="3" t="s">
        <v>319</v>
      </c>
      <c r="T12" s="11" t="str">
        <f>MID(E25,1,1)</f>
        <v>2</v>
      </c>
      <c r="U12" s="11" t="str">
        <f>MID(E25,3,1)</f>
        <v>1</v>
      </c>
      <c r="V12" s="3">
        <f>(T12-1)*2+U12</f>
        <v>3</v>
      </c>
      <c r="W12" s="3" t="str">
        <f>CHOOSE($V$12,$S$94,$S$95,$S$96,$S$97)</f>
        <v>2.2 Restoring the ecological diversity in the border area</v>
      </c>
    </row>
    <row r="13" spans="1:25" ht="15" x14ac:dyDescent="0.25">
      <c r="A13" s="9"/>
      <c r="B13" s="9"/>
      <c r="C13" s="618" t="s">
        <v>162</v>
      </c>
      <c r="D13" s="618"/>
      <c r="E13" s="619"/>
      <c r="F13" s="619"/>
      <c r="G13" s="619"/>
      <c r="H13" s="619"/>
      <c r="I13" s="619"/>
      <c r="J13" s="619"/>
      <c r="K13" s="619"/>
      <c r="L13" s="619"/>
      <c r="M13" s="620"/>
      <c r="N13" s="50"/>
      <c r="P13" s="3">
        <v>13</v>
      </c>
      <c r="Q13" s="2" t="str">
        <f>IF(C14="",FALSE,C13)</f>
        <v>Acronym (max.30 characters)</v>
      </c>
      <c r="X13" s="2"/>
    </row>
    <row r="14" spans="1:25" x14ac:dyDescent="0.2">
      <c r="A14" s="5"/>
      <c r="B14" s="5"/>
      <c r="C14" s="624" t="s">
        <v>662</v>
      </c>
      <c r="D14" s="625"/>
      <c r="E14" s="626"/>
      <c r="F14" s="626"/>
      <c r="G14" s="626"/>
      <c r="H14" s="626"/>
      <c r="I14" s="626"/>
      <c r="J14" s="626"/>
      <c r="K14" s="626"/>
      <c r="L14" s="626"/>
      <c r="M14" s="627"/>
      <c r="N14" s="2"/>
      <c r="P14" s="3">
        <v>14</v>
      </c>
    </row>
    <row r="15" spans="1:25" ht="6" hidden="1" customHeight="1" x14ac:dyDescent="0.2">
      <c r="A15" s="5"/>
      <c r="B15" s="5"/>
      <c r="C15" s="10"/>
      <c r="D15" s="10"/>
      <c r="E15" s="10"/>
      <c r="F15" s="10"/>
      <c r="G15" s="10"/>
      <c r="H15" s="10"/>
      <c r="I15" s="10"/>
      <c r="J15" s="10"/>
      <c r="K15" s="10"/>
      <c r="P15" s="3">
        <v>15</v>
      </c>
    </row>
    <row r="16" spans="1:25" ht="15" hidden="1" x14ac:dyDescent="0.25">
      <c r="A16" s="9"/>
      <c r="B16" s="9"/>
      <c r="C16" s="618" t="s">
        <v>209</v>
      </c>
      <c r="D16" s="618"/>
      <c r="E16" s="619"/>
      <c r="F16" s="619"/>
      <c r="G16" s="619"/>
      <c r="H16" s="619"/>
      <c r="I16" s="619"/>
      <c r="J16" s="619"/>
      <c r="K16" s="619"/>
      <c r="L16" s="619"/>
      <c r="M16" s="620"/>
      <c r="N16" s="50"/>
      <c r="P16" s="3">
        <v>16</v>
      </c>
      <c r="Q16" s="2" t="b">
        <f>IF(C17="",FALSE,C16)</f>
        <v>0</v>
      </c>
      <c r="X16" s="2"/>
    </row>
    <row r="17" spans="1:24" ht="12.75" hidden="1" customHeight="1" x14ac:dyDescent="0.2">
      <c r="C17" s="12"/>
      <c r="D17" s="12"/>
      <c r="E17" s="12"/>
      <c r="F17" s="12"/>
      <c r="G17" s="605"/>
      <c r="H17" s="633"/>
      <c r="I17" s="633"/>
      <c r="J17" s="12"/>
      <c r="K17" s="12"/>
      <c r="L17" s="10"/>
      <c r="M17" s="10"/>
      <c r="N17" s="10"/>
      <c r="P17" s="3">
        <v>17</v>
      </c>
    </row>
    <row r="18" spans="1:24" ht="2.25" customHeight="1" x14ac:dyDescent="0.2">
      <c r="P18" s="3">
        <v>18</v>
      </c>
    </row>
    <row r="19" spans="1:24" ht="15" x14ac:dyDescent="0.25">
      <c r="A19" s="13" t="s">
        <v>91</v>
      </c>
      <c r="B19" s="13"/>
      <c r="P19" s="3">
        <v>19</v>
      </c>
    </row>
    <row r="20" spans="1:24" ht="15" x14ac:dyDescent="0.2">
      <c r="A20" s="14"/>
      <c r="B20" s="14"/>
      <c r="P20" s="3">
        <v>20</v>
      </c>
    </row>
    <row r="21" spans="1:24" ht="18" customHeight="1" x14ac:dyDescent="0.2">
      <c r="A21" s="567" t="s">
        <v>92</v>
      </c>
      <c r="B21" s="567"/>
      <c r="C21" s="571"/>
      <c r="D21" s="12"/>
      <c r="E21" s="630" t="str">
        <f>IF(ISERROR(V12)=TRUE," ",CHOOSE(T12,T94,T95,T96,T97))</f>
        <v>2 SUSTAINABLE USE OF NATURAL AND CULTURAL ASSETS</v>
      </c>
      <c r="F21" s="631"/>
      <c r="G21" s="631"/>
      <c r="H21" s="631"/>
      <c r="I21" s="631"/>
      <c r="J21" s="631"/>
      <c r="K21" s="631"/>
      <c r="L21" s="631"/>
      <c r="M21" s="631"/>
      <c r="N21" s="631"/>
      <c r="O21" s="632"/>
      <c r="P21" s="3">
        <v>21</v>
      </c>
    </row>
    <row r="22" spans="1:24" ht="6" hidden="1" customHeight="1" x14ac:dyDescent="0.2">
      <c r="A22" s="15"/>
      <c r="B22" s="15"/>
      <c r="C22" s="12"/>
      <c r="D22" s="16"/>
      <c r="E22" s="16"/>
      <c r="F22" s="16"/>
      <c r="G22" s="16"/>
      <c r="H22" s="16"/>
      <c r="I22" s="16"/>
      <c r="J22" s="16"/>
      <c r="K22" s="16"/>
      <c r="L22" s="16"/>
      <c r="M22" s="16"/>
      <c r="N22" s="16"/>
      <c r="O22" s="16"/>
      <c r="P22" s="3">
        <v>22</v>
      </c>
    </row>
    <row r="23" spans="1:24" hidden="1" x14ac:dyDescent="0.2">
      <c r="A23" s="567"/>
      <c r="B23" s="567"/>
      <c r="C23" s="567"/>
      <c r="D23" s="15"/>
      <c r="E23" s="640"/>
      <c r="F23" s="640"/>
      <c r="G23" s="640"/>
      <c r="H23" s="640"/>
      <c r="I23" s="640"/>
      <c r="J23" s="640"/>
      <c r="K23" s="640"/>
      <c r="L23" s="640"/>
      <c r="M23" s="640"/>
      <c r="N23" s="640"/>
      <c r="O23" s="640"/>
      <c r="P23" s="3">
        <v>23</v>
      </c>
    </row>
    <row r="24" spans="1:24" ht="6" customHeight="1" x14ac:dyDescent="0.2">
      <c r="A24" s="15"/>
      <c r="B24" s="15"/>
      <c r="C24" s="15"/>
      <c r="D24" s="16"/>
      <c r="E24" s="16"/>
      <c r="F24" s="16"/>
      <c r="G24" s="16"/>
      <c r="H24" s="16"/>
      <c r="I24" s="16"/>
      <c r="J24" s="16"/>
      <c r="K24" s="16"/>
      <c r="L24" s="16"/>
      <c r="M24" s="16"/>
      <c r="N24" s="16"/>
      <c r="O24" s="16"/>
      <c r="P24" s="3">
        <v>24</v>
      </c>
    </row>
    <row r="25" spans="1:24" ht="27" customHeight="1" x14ac:dyDescent="0.2">
      <c r="A25" s="567" t="s">
        <v>321</v>
      </c>
      <c r="B25" s="567"/>
      <c r="C25" s="567"/>
      <c r="D25" s="15"/>
      <c r="E25" s="602" t="s">
        <v>385</v>
      </c>
      <c r="F25" s="641"/>
      <c r="G25" s="641"/>
      <c r="H25" s="641"/>
      <c r="I25" s="641"/>
      <c r="J25" s="641"/>
      <c r="K25" s="641"/>
      <c r="L25" s="641"/>
      <c r="M25" s="641"/>
      <c r="N25" s="641"/>
      <c r="O25" s="603"/>
      <c r="P25" s="3">
        <v>25</v>
      </c>
      <c r="Q25" s="2" t="str">
        <f>IF(E25="",FALSE,A25)</f>
        <v>Component</v>
      </c>
      <c r="X25" s="2"/>
    </row>
    <row r="26" spans="1:24" s="2" customFormat="1" x14ac:dyDescent="0.2">
      <c r="P26" s="3">
        <v>26</v>
      </c>
    </row>
    <row r="27" spans="1:24" s="2" customFormat="1" ht="27" customHeight="1" x14ac:dyDescent="0.2">
      <c r="A27" s="567" t="s">
        <v>93</v>
      </c>
      <c r="B27" s="643"/>
      <c r="C27" s="643"/>
      <c r="D27" s="15"/>
      <c r="H27" s="17"/>
      <c r="L27" s="17"/>
      <c r="M27" s="642"/>
      <c r="N27" s="642"/>
      <c r="O27" s="642"/>
      <c r="P27" s="3">
        <v>27</v>
      </c>
    </row>
    <row r="28" spans="1:24" s="2" customFormat="1" ht="5.25" customHeight="1" x14ac:dyDescent="0.2">
      <c r="A28" s="12"/>
      <c r="B28" s="360"/>
      <c r="C28" s="360"/>
      <c r="D28" s="362"/>
      <c r="E28" s="361"/>
      <c r="F28" s="361"/>
      <c r="G28" s="361"/>
      <c r="H28" s="363"/>
      <c r="I28" s="361"/>
      <c r="J28" s="361"/>
      <c r="K28" s="361"/>
      <c r="L28" s="364"/>
      <c r="M28" s="611"/>
      <c r="N28" s="611"/>
      <c r="O28" s="611"/>
      <c r="P28" s="3">
        <v>28</v>
      </c>
      <c r="Q28" s="2">
        <f>IF(AND(A31&lt;&gt;3000,OR(A31&lt;R28,A31&gt;S28)),E32,0)</f>
        <v>0</v>
      </c>
      <c r="R28" s="2">
        <f>LOOKUP(E25,R94:R105,V94:V105)</f>
        <v>200000</v>
      </c>
      <c r="S28" s="2">
        <f>LOOKUP(E25,R94:R105,W94:W105)</f>
        <v>2000000</v>
      </c>
    </row>
    <row r="29" spans="1:24" s="2" customFormat="1" ht="3" customHeight="1" x14ac:dyDescent="0.2">
      <c r="A29" s="12"/>
      <c r="B29" s="12"/>
      <c r="C29" s="12"/>
      <c r="D29" s="166"/>
      <c r="P29" s="3">
        <v>29</v>
      </c>
    </row>
    <row r="30" spans="1:24" s="2" customFormat="1" ht="15" customHeight="1" x14ac:dyDescent="0.2">
      <c r="A30" s="607" t="s">
        <v>140</v>
      </c>
      <c r="B30" s="607"/>
      <c r="C30" s="607"/>
      <c r="D30" s="15"/>
      <c r="E30" s="607" t="s">
        <v>317</v>
      </c>
      <c r="F30" s="607"/>
      <c r="G30" s="607"/>
      <c r="H30" s="17"/>
      <c r="I30" s="607" t="s">
        <v>382</v>
      </c>
      <c r="J30" s="607"/>
      <c r="K30" s="607"/>
      <c r="L30" s="17"/>
      <c r="M30" s="607" t="s">
        <v>309</v>
      </c>
      <c r="N30" s="607"/>
      <c r="O30" s="607"/>
      <c r="P30" s="3">
        <v>30</v>
      </c>
    </row>
    <row r="31" spans="1:24" s="2" customFormat="1" ht="18" customHeight="1" x14ac:dyDescent="0.2">
      <c r="A31" s="608">
        <f>'10. Sources of funding'!AI27</f>
        <v>1019155.5</v>
      </c>
      <c r="B31" s="609"/>
      <c r="C31" s="610"/>
      <c r="D31" s="165"/>
      <c r="E31" s="608">
        <f>'10. Sources of funding'!AI21</f>
        <v>866282.16</v>
      </c>
      <c r="F31" s="609"/>
      <c r="G31" s="610"/>
      <c r="H31" s="153"/>
      <c r="I31" s="608">
        <f>'10. Sources of funding'!AI23</f>
        <v>41457.75</v>
      </c>
      <c r="J31" s="609"/>
      <c r="K31" s="610"/>
      <c r="L31" s="64"/>
      <c r="M31" s="608">
        <f>'10. Sources of funding'!AI25</f>
        <v>111415.59</v>
      </c>
      <c r="N31" s="609"/>
      <c r="O31" s="610"/>
      <c r="P31" s="2">
        <v>31</v>
      </c>
    </row>
    <row r="32" spans="1:24" s="2" customFormat="1" ht="25.5" customHeight="1" x14ac:dyDescent="0.2">
      <c r="D32" s="173"/>
      <c r="E32" s="612" t="s">
        <v>660</v>
      </c>
      <c r="F32" s="613"/>
      <c r="G32" s="613"/>
      <c r="H32" s="613"/>
      <c r="I32" s="613"/>
      <c r="J32" s="613"/>
      <c r="K32" s="613"/>
      <c r="L32" s="613"/>
      <c r="M32" s="613"/>
      <c r="N32" s="613"/>
      <c r="O32" s="613"/>
    </row>
    <row r="33" spans="1:24" s="2" customFormat="1" ht="12.75" customHeight="1" x14ac:dyDescent="0.2">
      <c r="A33" s="567" t="s">
        <v>20</v>
      </c>
      <c r="B33" s="649"/>
      <c r="C33" s="649"/>
      <c r="D33" s="649"/>
      <c r="E33" s="649"/>
      <c r="F33" s="173"/>
      <c r="G33" s="173"/>
      <c r="H33" s="173"/>
      <c r="I33" s="16"/>
      <c r="J33" s="173"/>
      <c r="K33" s="16"/>
      <c r="L33" s="16"/>
      <c r="M33" s="16"/>
      <c r="N33" s="16"/>
      <c r="O33" s="16"/>
    </row>
    <row r="34" spans="1:24" s="2" customFormat="1" ht="8.25" customHeight="1" x14ac:dyDescent="0.2">
      <c r="A34" s="15"/>
      <c r="B34" s="15"/>
      <c r="C34" s="15"/>
      <c r="D34" s="16"/>
      <c r="E34" s="16"/>
      <c r="F34" s="16"/>
      <c r="G34" s="16"/>
      <c r="H34" s="16"/>
      <c r="I34" s="16"/>
      <c r="J34" s="16"/>
      <c r="K34" s="16"/>
      <c r="L34" s="16"/>
      <c r="M34" s="16"/>
      <c r="N34" s="16"/>
      <c r="O34" s="16"/>
    </row>
    <row r="35" spans="1:24" s="2" customFormat="1" ht="12.75" customHeight="1" x14ac:dyDescent="0.2">
      <c r="A35" s="567" t="s">
        <v>99</v>
      </c>
      <c r="B35" s="567"/>
      <c r="C35" s="567"/>
      <c r="D35" s="12"/>
      <c r="E35" s="73">
        <v>1</v>
      </c>
      <c r="F35" s="12"/>
      <c r="G35" s="174" t="s">
        <v>101</v>
      </c>
      <c r="H35" s="175"/>
      <c r="I35" s="73">
        <v>11</v>
      </c>
      <c r="J35" s="12"/>
      <c r="K35" s="17" t="s">
        <v>95</v>
      </c>
      <c r="L35" s="12"/>
      <c r="M35" s="73">
        <v>2017</v>
      </c>
      <c r="N35" s="12"/>
      <c r="O35" s="17" t="s">
        <v>96</v>
      </c>
      <c r="P35" s="2" t="str">
        <f>IF(OR(E35="",I35="",M35=""),FALSE,A35)</f>
        <v>Start date of the project implementation:</v>
      </c>
      <c r="T35" s="404" t="str">
        <f>IF(AND(E35&gt;30,OR(I35=2,I35=4,I35=6,I35=9,I35=11)),"Error in the selected date (not exists)!",IF(AND(I35=2,E35&gt;29),"Error in the selected date (not exists)!",IF(AND(I35=2,E35&gt;28,M35&lt;&gt;2016),"Error in the selected date (not exists)!","")))</f>
        <v/>
      </c>
    </row>
    <row r="36" spans="1:24" ht="6" customHeight="1" x14ac:dyDescent="0.2">
      <c r="A36" s="2"/>
      <c r="B36" s="2"/>
      <c r="C36" s="2"/>
      <c r="G36" s="2"/>
    </row>
    <row r="37" spans="1:24" s="2" customFormat="1" ht="12.75" customHeight="1" x14ac:dyDescent="0.2">
      <c r="A37" s="567" t="s">
        <v>100</v>
      </c>
      <c r="B37" s="567"/>
      <c r="C37" s="567"/>
      <c r="D37" s="12"/>
      <c r="E37" s="73">
        <v>30</v>
      </c>
      <c r="F37" s="12"/>
      <c r="G37" s="174" t="s">
        <v>101</v>
      </c>
      <c r="H37" s="175"/>
      <c r="I37" s="73">
        <v>6</v>
      </c>
      <c r="J37" s="12"/>
      <c r="K37" s="17" t="s">
        <v>95</v>
      </c>
      <c r="L37" s="12"/>
      <c r="M37" s="73">
        <v>2019</v>
      </c>
      <c r="N37" s="12"/>
      <c r="O37" s="17" t="s">
        <v>96</v>
      </c>
      <c r="P37" s="2" t="str">
        <f>IF(OR(E37="",I37="",M37=""),FALSE,A37)</f>
        <v>End date of the project implementation:</v>
      </c>
      <c r="T37" s="404" t="str">
        <f>IF(AND(E37&gt;30,OR(I37=2,I37=4,I37=6,I37=9,I37=11)),"Error in the selected date (not exists)!",IF(AND(I37=2,E37&gt;29),"Error in the selected date (not exists)!",IF(AND(I37=2,E37&gt;28,M37&lt;&gt;2016),"Error in the selected date (not exists)!","")))</f>
        <v/>
      </c>
      <c r="X37" s="2">
        <f>LOOKUP(E25,R95:R102,X95:X102)</f>
        <v>20</v>
      </c>
    </row>
    <row r="38" spans="1:24" ht="6" customHeight="1" x14ac:dyDescent="0.2"/>
    <row r="39" spans="1:24" s="2" customFormat="1" ht="12.75" customHeight="1" x14ac:dyDescent="0.2">
      <c r="A39" s="567" t="s">
        <v>94</v>
      </c>
      <c r="B39" s="567"/>
      <c r="C39" s="567"/>
      <c r="D39" s="567"/>
      <c r="E39" s="649"/>
      <c r="F39" s="173"/>
      <c r="G39" s="173"/>
      <c r="H39" s="173"/>
      <c r="I39" s="294">
        <f>IF(AND(R39&gt;3,R39&lt;25,A35=P35,A37=P37),R39,"")</f>
        <v>20</v>
      </c>
      <c r="J39" s="173"/>
      <c r="K39" s="644" t="s">
        <v>374</v>
      </c>
      <c r="L39" s="645"/>
      <c r="M39" s="645"/>
      <c r="N39" s="645"/>
      <c r="O39" s="645"/>
      <c r="P39" s="3"/>
      <c r="Q39" s="2" t="str">
        <f>IF(I39="",FALSE,A39)</f>
        <v>Project duration (in months):</v>
      </c>
      <c r="R39" s="2">
        <f>(M37-M35)*12+(I37-I35)+S39</f>
        <v>20</v>
      </c>
      <c r="S39" s="2">
        <f>IF(E37&gt;=E35,1,0)</f>
        <v>1</v>
      </c>
      <c r="X39" s="2" t="str">
        <f>IF(AND(P35&lt;&gt;FALSE,P37&lt;&gt;FALSE,OR((R39&lt;4),(X37&lt;R39))),K39,"")</f>
        <v/>
      </c>
    </row>
    <row r="40" spans="1:24" ht="25.5" customHeight="1" x14ac:dyDescent="0.2">
      <c r="E40" s="167" t="s">
        <v>87</v>
      </c>
      <c r="K40" s="645"/>
      <c r="L40" s="645"/>
      <c r="M40" s="645"/>
      <c r="N40" s="645"/>
      <c r="O40" s="645"/>
    </row>
    <row r="41" spans="1:24" ht="15" x14ac:dyDescent="0.25">
      <c r="A41" s="13" t="s">
        <v>3</v>
      </c>
      <c r="B41" s="13"/>
    </row>
    <row r="43" spans="1:24" x14ac:dyDescent="0.2">
      <c r="A43" s="154" t="s">
        <v>64</v>
      </c>
    </row>
    <row r="44" spans="1:24" ht="46.5" customHeight="1" x14ac:dyDescent="0.2">
      <c r="A44" s="567" t="s">
        <v>210</v>
      </c>
      <c r="B44" s="567"/>
      <c r="C44" s="604"/>
      <c r="D44" s="169"/>
      <c r="E44" s="646" t="str">
        <f>T('2. LB data'!C5:F5)</f>
        <v>Letenye Város Önkormányzata</v>
      </c>
      <c r="F44" s="665"/>
      <c r="G44" s="665"/>
      <c r="H44" s="665"/>
      <c r="I44" s="665"/>
      <c r="J44" s="665"/>
      <c r="K44" s="665"/>
      <c r="L44" s="665"/>
      <c r="M44" s="665"/>
      <c r="N44" s="665"/>
      <c r="O44" s="666"/>
    </row>
    <row r="45" spans="1:24" ht="4.5" customHeight="1" x14ac:dyDescent="0.2">
      <c r="A45" s="15"/>
      <c r="B45" s="12"/>
      <c r="C45" s="12"/>
      <c r="D45" s="12"/>
      <c r="E45" s="12"/>
      <c r="F45" s="12"/>
      <c r="G45" s="12"/>
      <c r="H45" s="20"/>
      <c r="I45" s="2"/>
      <c r="J45" s="12"/>
      <c r="K45" s="176"/>
      <c r="M45" s="2"/>
    </row>
    <row r="46" spans="1:24" ht="24" customHeight="1" x14ac:dyDescent="0.2">
      <c r="A46" s="171"/>
      <c r="B46" s="605" t="s">
        <v>335</v>
      </c>
      <c r="C46" s="606"/>
      <c r="D46" s="59"/>
      <c r="E46" s="60" t="s">
        <v>61</v>
      </c>
      <c r="F46" s="59"/>
      <c r="G46" s="605" t="s">
        <v>175</v>
      </c>
      <c r="H46" s="661"/>
      <c r="I46" s="661"/>
      <c r="J46" s="82"/>
      <c r="K46" s="605" t="s">
        <v>36</v>
      </c>
      <c r="L46" s="606"/>
      <c r="M46" s="606"/>
      <c r="N46" s="606"/>
      <c r="O46" s="661"/>
      <c r="Q46" s="170" t="s">
        <v>28</v>
      </c>
      <c r="R46" s="3" t="s">
        <v>222</v>
      </c>
      <c r="T46" s="7"/>
    </row>
    <row r="47" spans="1:24" ht="6" customHeight="1" x14ac:dyDescent="0.2">
      <c r="A47" s="59"/>
      <c r="B47" s="60"/>
      <c r="C47" s="59"/>
      <c r="D47" s="59"/>
      <c r="E47" s="59"/>
      <c r="F47" s="59"/>
      <c r="G47" s="2"/>
      <c r="H47" s="2"/>
      <c r="I47" s="17"/>
      <c r="J47" s="59"/>
      <c r="K47" s="61"/>
      <c r="L47" s="61"/>
      <c r="M47" s="61"/>
      <c r="N47" s="60"/>
    </row>
    <row r="48" spans="1:24" ht="25.5" customHeight="1" x14ac:dyDescent="0.2">
      <c r="A48" s="662" t="str">
        <f>T('2. LB data'!C9:F9)</f>
        <v>Letenye</v>
      </c>
      <c r="B48" s="647"/>
      <c r="C48" s="648"/>
      <c r="D48" s="60"/>
      <c r="E48" s="177" t="str">
        <f>T('2. LB data'!C11)</f>
        <v>Hungary</v>
      </c>
      <c r="F48" s="60"/>
      <c r="G48" s="630" t="str">
        <f>T('2. LB data'!C13:D13)</f>
        <v>Zala megye</v>
      </c>
      <c r="H48" s="638"/>
      <c r="I48" s="639"/>
      <c r="J48" s="60"/>
      <c r="K48" s="634" t="str">
        <f>IF(T('2. LB data'!C72:D72)=T('2. LB data'!C13:D13),T('2. LB data'!E65),T('2. LB data'!E34))</f>
        <v>Letenye</v>
      </c>
      <c r="L48" s="635"/>
      <c r="M48" s="635"/>
      <c r="N48" s="635"/>
      <c r="O48" s="636"/>
      <c r="Q48" s="3" t="str">
        <f>'2. LB data'!I9</f>
        <v>Abbreviated name (in original language) (max. 20 characters)</v>
      </c>
      <c r="V48" s="11"/>
      <c r="W48" s="3" t="str">
        <f>IF(OR(V48="B",V48="S",V48="Z"),T$75,IF(G48="","",T$76))</f>
        <v>Croatia</v>
      </c>
    </row>
    <row r="49" spans="1:23" ht="6" customHeight="1" x14ac:dyDescent="0.2">
      <c r="A49" s="60"/>
      <c r="B49" s="61"/>
      <c r="C49" s="60"/>
      <c r="D49" s="60"/>
      <c r="E49" s="61"/>
      <c r="F49" s="60"/>
      <c r="G49" s="16"/>
      <c r="H49" s="16"/>
      <c r="I49" s="63"/>
      <c r="J49" s="60"/>
      <c r="K49" s="63"/>
      <c r="L49" s="63"/>
      <c r="M49" s="63"/>
      <c r="N49" s="17"/>
      <c r="O49" s="224"/>
    </row>
    <row r="50" spans="1:23" ht="15" customHeight="1" x14ac:dyDescent="0.2">
      <c r="A50" s="663" t="s">
        <v>336</v>
      </c>
      <c r="B50" s="664"/>
      <c r="C50" s="664"/>
      <c r="D50" s="12"/>
      <c r="E50" s="12"/>
      <c r="F50" s="12"/>
      <c r="G50" s="12"/>
      <c r="H50" s="225"/>
      <c r="I50" s="16"/>
      <c r="J50" s="12"/>
      <c r="K50" s="82"/>
      <c r="L50" s="224"/>
      <c r="M50" s="16"/>
      <c r="N50" s="224"/>
      <c r="O50" s="224"/>
    </row>
    <row r="51" spans="1:23" ht="25.5" customHeight="1" x14ac:dyDescent="0.2">
      <c r="A51" s="646" t="str">
        <f>T('2. B1 data'!C9:F9)</f>
        <v>GP</v>
      </c>
      <c r="B51" s="647"/>
      <c r="C51" s="648"/>
      <c r="D51" s="60"/>
      <c r="E51" s="177" t="str">
        <f>T('2. B1 data'!C11)</f>
        <v>Croatia</v>
      </c>
      <c r="F51" s="60"/>
      <c r="G51" s="630" t="str">
        <f>T('2. B1 data'!C13:D13)</f>
        <v>Međimurska županija</v>
      </c>
      <c r="H51" s="638"/>
      <c r="I51" s="639"/>
      <c r="J51" s="60"/>
      <c r="K51" s="634" t="str">
        <f>IF(T('2. B1 data'!C72:D72)=T('2. B1 data'!C13:D13),T('2. B1 data'!E65),T('2. B1 data'!E34))</f>
        <v>Prelog</v>
      </c>
      <c r="L51" s="635"/>
      <c r="M51" s="635"/>
      <c r="N51" s="635"/>
      <c r="O51" s="636"/>
      <c r="Q51" s="3" t="str">
        <f>'2. B1 data'!I9</f>
        <v>Abbreviated name (in original language) (max. 20 characters)</v>
      </c>
      <c r="V51" s="11" t="str">
        <f>MID(G51,1,1)</f>
        <v>M</v>
      </c>
      <c r="W51" s="3" t="str">
        <f>IF(OR(V51="B",V51="S",V51="Z"),T$75,IF(G51="","",T$76))</f>
        <v>Croatia</v>
      </c>
    </row>
    <row r="52" spans="1:23" ht="6" customHeight="1" x14ac:dyDescent="0.2">
      <c r="A52" s="60"/>
      <c r="B52" s="61"/>
      <c r="C52" s="60"/>
      <c r="D52" s="60"/>
      <c r="E52" s="61"/>
      <c r="F52" s="60"/>
      <c r="G52" s="16"/>
      <c r="H52" s="16"/>
      <c r="I52" s="63"/>
      <c r="J52" s="60"/>
      <c r="K52" s="63"/>
      <c r="L52" s="63"/>
      <c r="M52" s="63"/>
      <c r="N52" s="17"/>
      <c r="O52" s="224"/>
    </row>
    <row r="53" spans="1:23" ht="25.5" customHeight="1" x14ac:dyDescent="0.2">
      <c r="A53" s="646" t="str">
        <f>T('2. B2 data'!C9:F9)</f>
        <v>Grad Ludbreg</v>
      </c>
      <c r="B53" s="647"/>
      <c r="C53" s="648"/>
      <c r="D53" s="60"/>
      <c r="E53" s="177" t="str">
        <f>T('2. B2 data'!C11)</f>
        <v>Croatia</v>
      </c>
      <c r="F53" s="60"/>
      <c r="G53" s="630" t="str">
        <f>T('2. B2 data'!C13:D13)</f>
        <v>Varaždinska županija</v>
      </c>
      <c r="H53" s="638"/>
      <c r="I53" s="639"/>
      <c r="J53" s="60"/>
      <c r="K53" s="634" t="str">
        <f>IF(T('2. B2 data'!C72:D72)=T('2. B2 data'!C13:D13),T('2. B2 data'!E65),T('2. B2 data'!E34))</f>
        <v>Ludbreg</v>
      </c>
      <c r="L53" s="635"/>
      <c r="M53" s="635"/>
      <c r="N53" s="635"/>
      <c r="O53" s="636"/>
      <c r="Q53" s="3" t="str">
        <f>'2. B2 data'!I9</f>
        <v>Abbreviated name (in original language) (max. 20 characters)</v>
      </c>
      <c r="T53" s="20"/>
      <c r="V53" s="11" t="str">
        <f>MID(G53,1,1)</f>
        <v>V</v>
      </c>
      <c r="W53" s="3" t="str">
        <f>IF(OR(V53="B",V53="S",V53="Z"),T$75,IF(G53="","",T$76))</f>
        <v>Croatia</v>
      </c>
    </row>
    <row r="54" spans="1:23" ht="6" customHeight="1" x14ac:dyDescent="0.2">
      <c r="A54" s="60"/>
      <c r="B54" s="61"/>
      <c r="C54" s="60"/>
      <c r="D54" s="60"/>
      <c r="E54" s="61"/>
      <c r="F54" s="60"/>
      <c r="G54" s="16"/>
      <c r="H54" s="16"/>
      <c r="I54" s="63"/>
      <c r="J54" s="60"/>
      <c r="K54" s="63"/>
      <c r="L54" s="63"/>
      <c r="M54" s="63"/>
      <c r="N54" s="17"/>
      <c r="O54" s="224"/>
      <c r="T54" s="20"/>
    </row>
    <row r="55" spans="1:23" ht="25.5" customHeight="1" x14ac:dyDescent="0.2">
      <c r="A55" s="646" t="str">
        <f>T('2. B3 data'!C9:F9)</f>
        <v>ŽUC Varaždin</v>
      </c>
      <c r="B55" s="647"/>
      <c r="C55" s="648"/>
      <c r="D55" s="60"/>
      <c r="E55" s="177" t="str">
        <f>T('2. B3 data'!C11)</f>
        <v>Croatia</v>
      </c>
      <c r="F55" s="60"/>
      <c r="G55" s="630" t="str">
        <f>T('2. B3 data'!C13:D13)</f>
        <v>Varaždinska županija</v>
      </c>
      <c r="H55" s="638"/>
      <c r="I55" s="639"/>
      <c r="J55" s="60"/>
      <c r="K55" s="634" t="str">
        <f>IF(T('2. B3 data'!C72:D72)=T('2. B3 data'!C13:D13),T('2. B3 data'!E65),T('2. B3 data'!E34))</f>
        <v>Varaždin</v>
      </c>
      <c r="L55" s="635"/>
      <c r="M55" s="635"/>
      <c r="N55" s="635"/>
      <c r="O55" s="636"/>
      <c r="Q55" s="3" t="str">
        <f>'2. B3 data'!I9</f>
        <v>Abbreviated name (in original language) (max. 20 characters)</v>
      </c>
      <c r="T55" s="20"/>
      <c r="V55" s="11" t="str">
        <f>MID(G55,1,1)</f>
        <v>V</v>
      </c>
      <c r="W55" s="3" t="str">
        <f>IF(OR(V55="B",V55="S",V55="Z"),T$75,IF(G55="","",T$76))</f>
        <v>Croatia</v>
      </c>
    </row>
    <row r="56" spans="1:23" ht="6" customHeight="1" x14ac:dyDescent="0.2">
      <c r="A56" s="60"/>
      <c r="B56" s="17"/>
      <c r="C56" s="60"/>
      <c r="D56" s="60"/>
      <c r="E56" s="17"/>
      <c r="F56" s="60"/>
      <c r="G56" s="16"/>
      <c r="H56" s="16"/>
      <c r="I56" s="17"/>
      <c r="J56" s="60"/>
      <c r="K56" s="17"/>
      <c r="L56" s="17"/>
      <c r="M56" s="17"/>
      <c r="N56" s="17"/>
      <c r="O56" s="224"/>
      <c r="T56" s="20"/>
    </row>
    <row r="57" spans="1:23" ht="25.5" customHeight="1" x14ac:dyDescent="0.2">
      <c r="A57" s="646" t="str">
        <f>T('2. B4 data'!C9:F9)</f>
        <v/>
      </c>
      <c r="B57" s="647"/>
      <c r="C57" s="648"/>
      <c r="D57" s="60"/>
      <c r="E57" s="177" t="str">
        <f>T('2. B4 data'!C11)</f>
        <v/>
      </c>
      <c r="F57" s="60"/>
      <c r="G57" s="630" t="str">
        <f>T('2. B4 data'!C13:D13)</f>
        <v/>
      </c>
      <c r="H57" s="638"/>
      <c r="I57" s="639"/>
      <c r="J57" s="60"/>
      <c r="K57" s="634" t="str">
        <f>IF(T('2. B4 data'!C72:D72)=T('2. B4 data'!C13:D13),T('2. B4 data'!E65),T('2. B4 data'!E34))</f>
        <v/>
      </c>
      <c r="L57" s="635"/>
      <c r="M57" s="635"/>
      <c r="N57" s="635"/>
      <c r="O57" s="636"/>
      <c r="Q57" s="3" t="b">
        <f>'2. B4 data'!I9</f>
        <v>0</v>
      </c>
      <c r="T57" s="20"/>
      <c r="V57" s="11" t="str">
        <f>MID(G57,1,1)</f>
        <v/>
      </c>
      <c r="W57" s="3" t="str">
        <f>IF(OR(V57="B",V57="S",V57="Z"),T$75,IF(G57="","",T$76))</f>
        <v/>
      </c>
    </row>
    <row r="58" spans="1:23" ht="6" customHeight="1" x14ac:dyDescent="0.2">
      <c r="A58" s="60"/>
      <c r="B58" s="17"/>
      <c r="C58" s="60"/>
      <c r="D58" s="60"/>
      <c r="E58" s="17"/>
      <c r="F58" s="60"/>
      <c r="G58" s="16"/>
      <c r="H58" s="16"/>
      <c r="I58" s="17"/>
      <c r="J58" s="60"/>
      <c r="K58" s="17"/>
      <c r="L58" s="17"/>
      <c r="M58" s="17"/>
      <c r="N58" s="17"/>
      <c r="O58" s="224"/>
      <c r="T58" s="20"/>
    </row>
    <row r="59" spans="1:23" ht="25.5" customHeight="1" x14ac:dyDescent="0.2">
      <c r="A59" s="646" t="str">
        <f>T('2. B5 data'!C9:F9)</f>
        <v/>
      </c>
      <c r="B59" s="647"/>
      <c r="C59" s="648"/>
      <c r="D59" s="60"/>
      <c r="E59" s="177" t="str">
        <f>T('2. B5 data'!C11)</f>
        <v/>
      </c>
      <c r="F59" s="60"/>
      <c r="G59" s="630" t="str">
        <f>T('2. B5 data'!C13:D13)</f>
        <v/>
      </c>
      <c r="H59" s="638"/>
      <c r="I59" s="639"/>
      <c r="J59" s="60"/>
      <c r="K59" s="634" t="str">
        <f>IF(T('2. B5 data'!C72:D72)=T('2. B5 data'!C13:D13),T('2. B5 data'!E65),T('2. B5 data'!E34))</f>
        <v/>
      </c>
      <c r="L59" s="635"/>
      <c r="M59" s="635"/>
      <c r="N59" s="635"/>
      <c r="O59" s="636"/>
      <c r="Q59" s="3" t="b">
        <f>'2. B5 data'!I9</f>
        <v>0</v>
      </c>
      <c r="T59" s="20"/>
      <c r="V59" s="11" t="str">
        <f>MID(G59,1,1)</f>
        <v/>
      </c>
      <c r="W59" s="3" t="str">
        <f>IF(OR(V59="B",V59="S",V59="Z"),T$75,IF(G59="","",T$76))</f>
        <v/>
      </c>
    </row>
    <row r="60" spans="1:23" ht="6" customHeight="1" x14ac:dyDescent="0.2">
      <c r="A60" s="60"/>
      <c r="B60" s="17"/>
      <c r="C60" s="60"/>
      <c r="D60" s="60"/>
      <c r="E60" s="17"/>
      <c r="F60" s="60"/>
      <c r="G60" s="16"/>
      <c r="H60" s="16"/>
      <c r="I60" s="17"/>
      <c r="J60" s="60"/>
      <c r="K60" s="17"/>
      <c r="L60" s="605"/>
      <c r="M60" s="605"/>
      <c r="N60" s="637"/>
      <c r="O60" s="224"/>
      <c r="T60" s="20"/>
    </row>
    <row r="61" spans="1:23" ht="25.5" customHeight="1" x14ac:dyDescent="0.2">
      <c r="A61" s="646" t="str">
        <f>T('2. B6 data'!C9:F9)</f>
        <v/>
      </c>
      <c r="B61" s="647"/>
      <c r="C61" s="648"/>
      <c r="D61" s="60"/>
      <c r="E61" s="177" t="str">
        <f>T('2. B6 data'!C11)</f>
        <v/>
      </c>
      <c r="F61" s="60"/>
      <c r="G61" s="630" t="str">
        <f>T('2. B6 data'!C13:D13)</f>
        <v/>
      </c>
      <c r="H61" s="638"/>
      <c r="I61" s="639"/>
      <c r="J61" s="60"/>
      <c r="K61" s="634" t="str">
        <f>IF(T('2. B6 data'!C72:D72)=T('2. B6 data'!C13:D13),T('2. B6 data'!E65),T('2. B6 data'!E34))</f>
        <v/>
      </c>
      <c r="L61" s="635"/>
      <c r="M61" s="635"/>
      <c r="N61" s="635"/>
      <c r="O61" s="636"/>
      <c r="Q61" s="3" t="b">
        <f>'2. B6 data'!I9</f>
        <v>0</v>
      </c>
      <c r="V61" s="11" t="str">
        <f>MID(G61,1,1)</f>
        <v/>
      </c>
      <c r="W61" s="3" t="str">
        <f>IF(OR(V61="B",V61="S",V61="Z"),T$75,IF(G61="","",T$76))</f>
        <v/>
      </c>
    </row>
    <row r="62" spans="1:23" ht="6" customHeight="1" x14ac:dyDescent="0.2">
      <c r="A62" s="60"/>
      <c r="B62" s="61"/>
      <c r="C62" s="60"/>
      <c r="D62" s="60"/>
      <c r="E62" s="61"/>
      <c r="F62" s="60"/>
      <c r="G62" s="16"/>
      <c r="H62" s="16"/>
      <c r="I62" s="63"/>
      <c r="J62" s="60"/>
      <c r="K62" s="63"/>
      <c r="L62" s="63"/>
      <c r="M62" s="63"/>
      <c r="N62" s="17"/>
      <c r="O62" s="224"/>
      <c r="T62" s="20"/>
    </row>
    <row r="63" spans="1:23" ht="25.5" customHeight="1" x14ac:dyDescent="0.2">
      <c r="A63" s="646" t="str">
        <f>T('2. B7 data'!C9:F9)</f>
        <v/>
      </c>
      <c r="B63" s="647"/>
      <c r="C63" s="648"/>
      <c r="D63" s="60"/>
      <c r="E63" s="177" t="str">
        <f>T('2. B7 data'!C11)</f>
        <v/>
      </c>
      <c r="F63" s="60"/>
      <c r="G63" s="630" t="str">
        <f>T('2. B7 data'!C13:D13)</f>
        <v/>
      </c>
      <c r="H63" s="638"/>
      <c r="I63" s="639"/>
      <c r="J63" s="60"/>
      <c r="K63" s="634" t="str">
        <f>IF(T('2. B7 data'!C72:D72)=T('2. B7 data'!C13:D13),T('2. B7 data'!E65),T('2. B7 data'!E34))</f>
        <v/>
      </c>
      <c r="L63" s="635"/>
      <c r="M63" s="635"/>
      <c r="N63" s="635"/>
      <c r="O63" s="636"/>
      <c r="Q63" s="3" t="b">
        <f>'2. B7 data'!I9</f>
        <v>0</v>
      </c>
      <c r="T63" s="20"/>
      <c r="V63" s="11" t="str">
        <f>MID(G63,1,1)</f>
        <v/>
      </c>
      <c r="W63" s="3" t="str">
        <f>IF(OR(V63="B",V63="S",V63="Z"),T$75,IF(G63="","",T$76))</f>
        <v/>
      </c>
    </row>
    <row r="64" spans="1:23" ht="13.5" customHeight="1" x14ac:dyDescent="0.2">
      <c r="A64" s="60"/>
      <c r="B64" s="12"/>
      <c r="C64" s="12"/>
      <c r="D64" s="60"/>
      <c r="E64" s="61"/>
      <c r="F64" s="60"/>
      <c r="G64" s="17"/>
      <c r="H64" s="61"/>
      <c r="I64" s="61"/>
      <c r="J64" s="60"/>
      <c r="K64" s="155"/>
      <c r="L64" s="155"/>
      <c r="M64" s="155"/>
      <c r="N64" s="155"/>
      <c r="O64" s="155"/>
      <c r="T64" s="20"/>
      <c r="V64" s="11"/>
    </row>
    <row r="65" spans="1:25" ht="20.25" customHeight="1" x14ac:dyDescent="0.2">
      <c r="A65" s="657" t="s">
        <v>316</v>
      </c>
      <c r="B65" s="658"/>
      <c r="C65" s="658"/>
      <c r="D65" s="659"/>
      <c r="E65" s="659"/>
      <c r="F65" s="12"/>
      <c r="G65" s="12"/>
      <c r="H65" s="225"/>
      <c r="I65" s="16"/>
      <c r="J65" s="12"/>
      <c r="K65" s="82"/>
      <c r="L65" s="224"/>
      <c r="M65" s="16"/>
      <c r="N65" s="224"/>
      <c r="O65" s="224"/>
    </row>
    <row r="66" spans="1:25" ht="25.5" customHeight="1" x14ac:dyDescent="0.2">
      <c r="A66" s="646" t="str">
        <f>T('3. Supporting stakeholders'!C6:F6)</f>
        <v>Tourist Board of Town Prelog</v>
      </c>
      <c r="B66" s="647"/>
      <c r="C66" s="648"/>
      <c r="D66" s="60"/>
      <c r="E66" s="177" t="str">
        <f>T('3. Supporting stakeholders'!C21)</f>
        <v>Croatia</v>
      </c>
      <c r="F66" s="60"/>
      <c r="G66" s="630" t="str">
        <f>T('3. Supporting stakeholders'!C23:D23)</f>
        <v>Međimurska</v>
      </c>
      <c r="H66" s="638"/>
      <c r="I66" s="639"/>
      <c r="J66" s="60"/>
      <c r="K66" s="634" t="str">
        <f>T('3. Supporting stakeholders'!E19)</f>
        <v>Prelog</v>
      </c>
      <c r="L66" s="650"/>
      <c r="M66" s="650"/>
      <c r="N66" s="650"/>
      <c r="O66" s="651"/>
      <c r="V66" s="11" t="str">
        <f>MID(G66,1,1)</f>
        <v>M</v>
      </c>
      <c r="W66" s="3" t="str">
        <f>IF(OR(V66="B",V66="S",V66="Z"),T$75,IF(G66="","",T$76))</f>
        <v>Croatia</v>
      </c>
    </row>
    <row r="67" spans="1:25" ht="6" customHeight="1" x14ac:dyDescent="0.2">
      <c r="A67" s="60"/>
      <c r="B67" s="61"/>
      <c r="C67" s="60"/>
      <c r="D67" s="60"/>
      <c r="E67" s="61"/>
      <c r="F67" s="60"/>
      <c r="G67" s="16"/>
      <c r="H67" s="16"/>
      <c r="I67" s="63"/>
      <c r="J67" s="60"/>
      <c r="K67" s="63"/>
      <c r="L67" s="63"/>
      <c r="M67" s="63"/>
      <c r="N67" s="17"/>
      <c r="O67" s="224"/>
    </row>
    <row r="68" spans="1:25" ht="25.5" customHeight="1" x14ac:dyDescent="0.2">
      <c r="A68" s="646" t="str">
        <f>T('3. Supporting stakeholders'!C30:F30)</f>
        <v>Općina Sveti Đurđ</v>
      </c>
      <c r="B68" s="647"/>
      <c r="C68" s="648"/>
      <c r="D68" s="60"/>
      <c r="E68" s="177" t="str">
        <f>T('3. Supporting stakeholders'!C45)</f>
        <v>Croatia</v>
      </c>
      <c r="F68" s="60"/>
      <c r="G68" s="630" t="str">
        <f>T('3. Supporting stakeholders'!C47:D47)</f>
        <v>Varaždinska županija</v>
      </c>
      <c r="H68" s="638"/>
      <c r="I68" s="639"/>
      <c r="J68" s="60"/>
      <c r="K68" s="634" t="str">
        <f>T('3. Supporting stakeholders'!E43)</f>
        <v>Sveti Đurđ</v>
      </c>
      <c r="L68" s="650"/>
      <c r="M68" s="650"/>
      <c r="N68" s="650"/>
      <c r="O68" s="651"/>
      <c r="T68" s="20"/>
      <c r="V68" s="11" t="str">
        <f>MID(G68,1,1)</f>
        <v>V</v>
      </c>
      <c r="W68" s="3" t="str">
        <f>IF(OR(V68="B",V68="S",V68="Z"),T$75,IF(G68="","",T$76))</f>
        <v>Croatia</v>
      </c>
    </row>
    <row r="69" spans="1:25" ht="6" customHeight="1" x14ac:dyDescent="0.2">
      <c r="A69" s="60"/>
      <c r="B69" s="61"/>
      <c r="C69" s="60"/>
      <c r="D69" s="60"/>
      <c r="E69" s="61"/>
      <c r="F69" s="60"/>
      <c r="G69" s="16"/>
      <c r="H69" s="16"/>
      <c r="I69" s="63"/>
      <c r="J69" s="60"/>
      <c r="K69" s="63"/>
      <c r="L69" s="63"/>
      <c r="M69" s="63"/>
      <c r="N69" s="17"/>
      <c r="O69" s="224"/>
      <c r="T69" s="20"/>
    </row>
    <row r="70" spans="1:25" ht="25.5" customHeight="1" x14ac:dyDescent="0.2">
      <c r="A70" s="646" t="str">
        <f>T('3. Supporting stakeholders'!C54:F54)</f>
        <v>Termál Út Kis-Balaton Kerékpáros Egyesület</v>
      </c>
      <c r="B70" s="647"/>
      <c r="C70" s="648"/>
      <c r="D70" s="60"/>
      <c r="E70" s="177" t="str">
        <f>T('3. Supporting stakeholders'!C69)</f>
        <v>Hungary</v>
      </c>
      <c r="F70" s="60"/>
      <c r="G70" s="630" t="str">
        <f>T('3. Supporting stakeholders'!C71:D71)</f>
        <v>Zala</v>
      </c>
      <c r="H70" s="638"/>
      <c r="I70" s="639"/>
      <c r="J70" s="60"/>
      <c r="K70" s="634" t="str">
        <f>T('3. Supporting stakeholders'!E67)</f>
        <v>Hévíz</v>
      </c>
      <c r="L70" s="650"/>
      <c r="M70" s="650"/>
      <c r="N70" s="650"/>
      <c r="O70" s="651"/>
      <c r="T70" s="20"/>
      <c r="V70" s="11" t="str">
        <f>MID(G70,1,1)</f>
        <v>Z</v>
      </c>
      <c r="W70" s="3" t="str">
        <f>IF(OR(V70="B",V70="S",V70="Z"),T$75,IF(G70="","",T$76))</f>
        <v>Hungary</v>
      </c>
    </row>
    <row r="71" spans="1:25" ht="6" customHeight="1" x14ac:dyDescent="0.2">
      <c r="A71" s="60"/>
      <c r="B71" s="61"/>
      <c r="C71" s="60"/>
      <c r="D71" s="60"/>
      <c r="E71" s="61"/>
      <c r="F71" s="60"/>
      <c r="G71" s="16"/>
      <c r="H71" s="16"/>
      <c r="I71" s="63"/>
      <c r="J71" s="60"/>
      <c r="K71" s="63"/>
      <c r="L71" s="63"/>
      <c r="M71" s="63"/>
      <c r="N71" s="17"/>
      <c r="O71" s="224"/>
      <c r="T71" s="20"/>
    </row>
    <row r="72" spans="1:25" ht="25.5" customHeight="1" x14ac:dyDescent="0.2">
      <c r="A72" s="646" t="str">
        <f>T('3. Supporting stakeholders'!C78:F78)</f>
        <v/>
      </c>
      <c r="B72" s="647"/>
      <c r="C72" s="648"/>
      <c r="D72" s="60"/>
      <c r="E72" s="177" t="str">
        <f>T('3. Supporting stakeholders'!C93)</f>
        <v/>
      </c>
      <c r="F72" s="60"/>
      <c r="G72" s="630" t="str">
        <f>T('3. Supporting stakeholders'!C95:D95)</f>
        <v/>
      </c>
      <c r="H72" s="638"/>
      <c r="I72" s="639"/>
      <c r="J72" s="60"/>
      <c r="K72" s="634" t="str">
        <f>T('3. Supporting stakeholders'!E91)</f>
        <v/>
      </c>
      <c r="L72" s="650"/>
      <c r="M72" s="650"/>
      <c r="N72" s="650"/>
      <c r="O72" s="651"/>
      <c r="T72" s="20"/>
      <c r="V72" s="11" t="str">
        <f>MID(G72,1,1)</f>
        <v/>
      </c>
      <c r="W72" s="3" t="str">
        <f>IF(OR(V72="B",V72="S",V72="Z"),T$75,IF(G72="","",T$76))</f>
        <v/>
      </c>
    </row>
    <row r="73" spans="1:25" ht="9.75" customHeight="1" x14ac:dyDescent="0.2">
      <c r="A73" s="60"/>
      <c r="B73" s="17"/>
      <c r="C73" s="60"/>
      <c r="D73" s="60"/>
      <c r="E73" s="17"/>
      <c r="F73" s="60"/>
      <c r="G73" s="2"/>
      <c r="H73" s="2"/>
      <c r="I73" s="17"/>
      <c r="J73" s="60"/>
      <c r="K73" s="17"/>
      <c r="L73" s="17"/>
      <c r="M73" s="17"/>
      <c r="N73" s="17"/>
      <c r="T73" s="20"/>
    </row>
    <row r="74" spans="1:25" ht="9.75" customHeight="1" x14ac:dyDescent="0.2">
      <c r="A74" s="60"/>
      <c r="B74" s="17"/>
      <c r="C74" s="60"/>
      <c r="D74" s="60"/>
      <c r="E74" s="17"/>
      <c r="F74" s="60"/>
      <c r="G74" s="2"/>
      <c r="H74" s="2"/>
      <c r="I74" s="17"/>
      <c r="J74" s="60"/>
      <c r="K74" s="17"/>
      <c r="L74" s="17"/>
      <c r="M74" s="17"/>
      <c r="N74" s="17"/>
      <c r="T74" s="20"/>
    </row>
    <row r="75" spans="1:25" ht="15" x14ac:dyDescent="0.25">
      <c r="A75" s="57" t="s">
        <v>37</v>
      </c>
      <c r="B75" s="19"/>
      <c r="C75" s="19"/>
      <c r="D75" s="19"/>
      <c r="E75" s="19"/>
      <c r="F75" s="19"/>
      <c r="G75" s="19"/>
      <c r="H75" s="19"/>
      <c r="J75" s="19"/>
      <c r="T75" s="7" t="s">
        <v>102</v>
      </c>
      <c r="Y75" s="3" t="s">
        <v>5</v>
      </c>
    </row>
    <row r="76" spans="1:25" ht="15" x14ac:dyDescent="0.25">
      <c r="A76" s="13"/>
      <c r="B76" s="13"/>
      <c r="C76" s="13"/>
      <c r="D76" s="13"/>
      <c r="E76" s="13"/>
      <c r="F76" s="13"/>
      <c r="G76" s="13"/>
      <c r="H76" s="13"/>
      <c r="J76" s="13"/>
      <c r="T76" s="7" t="s">
        <v>103</v>
      </c>
      <c r="U76" s="3" t="e">
        <f>IF('5. Project description'!#REF!="Hungary",1,IF('5. Project description'!#REF!="Croatia",2,0))</f>
        <v>#REF!</v>
      </c>
      <c r="Y76" s="151"/>
    </row>
    <row r="77" spans="1:25" ht="24.75" customHeight="1" x14ac:dyDescent="0.2">
      <c r="A77" s="59"/>
      <c r="B77" s="605" t="s">
        <v>335</v>
      </c>
      <c r="C77" s="606"/>
      <c r="D77" s="59"/>
      <c r="E77" s="60" t="s">
        <v>61</v>
      </c>
      <c r="F77" s="59"/>
      <c r="G77" s="605" t="s">
        <v>175</v>
      </c>
      <c r="H77" s="661"/>
      <c r="I77" s="661"/>
      <c r="J77" s="82"/>
      <c r="K77" s="605" t="s">
        <v>36</v>
      </c>
      <c r="L77" s="606"/>
      <c r="M77" s="606"/>
      <c r="N77" s="606"/>
      <c r="O77" s="661"/>
      <c r="T77" s="3" t="s">
        <v>400</v>
      </c>
      <c r="U77" s="3" t="e">
        <f>IF('5. Project description'!#REF!="Hungary",1,IF('5. Project description'!#REF!="Croatia",2,0))</f>
        <v>#REF!</v>
      </c>
    </row>
    <row r="78" spans="1:25" ht="6" customHeight="1" x14ac:dyDescent="0.2">
      <c r="A78" s="59"/>
      <c r="B78" s="60"/>
      <c r="C78" s="59"/>
      <c r="D78" s="59"/>
      <c r="E78" s="59"/>
      <c r="F78" s="59"/>
      <c r="G78" s="2"/>
      <c r="H78" s="2"/>
      <c r="I78" s="17"/>
      <c r="J78" s="59"/>
      <c r="K78" s="61"/>
      <c r="L78" s="61"/>
      <c r="M78" s="61"/>
      <c r="N78" s="60"/>
      <c r="T78" s="3" t="s">
        <v>104</v>
      </c>
      <c r="U78" s="3" t="str">
        <f>IF('5. Project description'!$B$1=1,T78,IF('5. Project description'!$B$1=2,T81,"-"))</f>
        <v>-</v>
      </c>
    </row>
    <row r="79" spans="1:25" ht="25.5" customHeight="1" x14ac:dyDescent="0.2">
      <c r="A79" s="60">
        <v>1</v>
      </c>
      <c r="B79" s="602" t="s">
        <v>665</v>
      </c>
      <c r="C79" s="603"/>
      <c r="D79" s="60"/>
      <c r="E79" s="405" t="s">
        <v>102</v>
      </c>
      <c r="F79" s="60"/>
      <c r="G79" s="568" t="s">
        <v>106</v>
      </c>
      <c r="H79" s="655"/>
      <c r="I79" s="656"/>
      <c r="J79" s="60"/>
      <c r="K79" s="660" t="s">
        <v>665</v>
      </c>
      <c r="L79" s="653"/>
      <c r="M79" s="653"/>
      <c r="N79" s="653"/>
      <c r="O79" s="654"/>
      <c r="T79" s="3" t="s">
        <v>105</v>
      </c>
      <c r="U79" s="3" t="e">
        <f>IF('5. Project description'!#REF!="Hungary",1,IF('5. Project description'!#REF!="Croatia",2,0))</f>
        <v>#REF!</v>
      </c>
      <c r="V79" s="11" t="str">
        <f>MID(G79,1,2)</f>
        <v>Za</v>
      </c>
      <c r="W79" s="239" t="str">
        <f>IF(OR(V79="Ba",V79="So",V79="Za"),T$75,IF(G79="","",T$76))</f>
        <v>Hungary</v>
      </c>
    </row>
    <row r="80" spans="1:25" ht="6" customHeight="1" x14ac:dyDescent="0.2">
      <c r="A80" s="60"/>
      <c r="B80" s="61"/>
      <c r="C80" s="60"/>
      <c r="D80" s="60"/>
      <c r="E80" s="61"/>
      <c r="F80" s="60"/>
      <c r="G80" s="2"/>
      <c r="H80" s="2"/>
      <c r="I80" s="63"/>
      <c r="J80" s="60"/>
      <c r="K80" s="63"/>
      <c r="L80" s="63"/>
      <c r="M80" s="63"/>
      <c r="N80" s="17"/>
      <c r="T80" s="3" t="s">
        <v>106</v>
      </c>
      <c r="U80" s="3" t="str">
        <f>IF('5. Project description'!$B$1=1,T80,IF('5. Project description'!$B$1=2,T83,"-"))</f>
        <v>-</v>
      </c>
      <c r="W80" s="240"/>
    </row>
    <row r="81" spans="1:24" ht="25.5" customHeight="1" x14ac:dyDescent="0.2">
      <c r="A81" s="60">
        <v>2</v>
      </c>
      <c r="B81" s="602" t="s">
        <v>912</v>
      </c>
      <c r="C81" s="603"/>
      <c r="D81" s="60"/>
      <c r="E81" s="405" t="s">
        <v>103</v>
      </c>
      <c r="F81" s="60"/>
      <c r="G81" s="568" t="s">
        <v>108</v>
      </c>
      <c r="H81" s="655"/>
      <c r="I81" s="656"/>
      <c r="J81" s="60"/>
      <c r="K81" s="660" t="s">
        <v>699</v>
      </c>
      <c r="L81" s="653"/>
      <c r="M81" s="653"/>
      <c r="N81" s="653"/>
      <c r="O81" s="654"/>
      <c r="T81" s="20" t="s">
        <v>107</v>
      </c>
      <c r="U81" s="3" t="str">
        <f>IF('5. Project description'!$B$1=1,"-",IF('5. Project description'!$B$1=2,T84,"-"))</f>
        <v>-</v>
      </c>
      <c r="V81" s="11" t="str">
        <f>MID(G81,1,2)</f>
        <v>Me</v>
      </c>
      <c r="W81" s="240" t="str">
        <f>IF(OR(V81="Ba",V81="So",V81="Za"),T$75,IF(G81="","",T$76))</f>
        <v>Croatia</v>
      </c>
    </row>
    <row r="82" spans="1:24" ht="6" customHeight="1" x14ac:dyDescent="0.2">
      <c r="A82" s="60"/>
      <c r="B82" s="61"/>
      <c r="C82" s="60"/>
      <c r="D82" s="60"/>
      <c r="E82" s="61"/>
      <c r="F82" s="60"/>
      <c r="G82" s="2"/>
      <c r="H82" s="2"/>
      <c r="I82" s="63"/>
      <c r="J82" s="60"/>
      <c r="K82" s="63"/>
      <c r="L82" s="63"/>
      <c r="M82" s="63"/>
      <c r="N82" s="17"/>
      <c r="T82" s="20" t="s">
        <v>108</v>
      </c>
      <c r="U82" s="3" t="str">
        <f>IF('5. Project description'!$B$1=1,"-",IF('5. Project description'!$B$1=2,T85,"-"))</f>
        <v>-</v>
      </c>
      <c r="W82" s="240"/>
    </row>
    <row r="83" spans="1:24" ht="25.5" customHeight="1" x14ac:dyDescent="0.2">
      <c r="A83" s="60">
        <v>3</v>
      </c>
      <c r="B83" s="602" t="s">
        <v>682</v>
      </c>
      <c r="C83" s="603"/>
      <c r="D83" s="60"/>
      <c r="E83" s="405" t="s">
        <v>103</v>
      </c>
      <c r="F83" s="60"/>
      <c r="G83" s="568" t="s">
        <v>114</v>
      </c>
      <c r="H83" s="655"/>
      <c r="I83" s="656"/>
      <c r="J83" s="60"/>
      <c r="K83" s="660" t="s">
        <v>689</v>
      </c>
      <c r="L83" s="653"/>
      <c r="M83" s="653"/>
      <c r="N83" s="653"/>
      <c r="O83" s="654"/>
      <c r="T83" s="20" t="s">
        <v>109</v>
      </c>
      <c r="U83" s="3" t="str">
        <f>IF('5. Project description'!$B$1=1,"-",IF('5. Project description'!$B$1=2,T86,"-"))</f>
        <v>-</v>
      </c>
      <c r="V83" s="11" t="str">
        <f>MID(G83,1,2)</f>
        <v>Va</v>
      </c>
      <c r="W83" s="240" t="str">
        <f>IF(OR(V83="Ba",V83="So",V83="Za"),T$75,IF(G83="","",T$76))</f>
        <v>Croatia</v>
      </c>
    </row>
    <row r="84" spans="1:24" ht="6" customHeight="1" x14ac:dyDescent="0.2">
      <c r="A84" s="60"/>
      <c r="B84" s="17"/>
      <c r="C84" s="60"/>
      <c r="D84" s="60"/>
      <c r="E84" s="17"/>
      <c r="F84" s="60"/>
      <c r="G84" s="2"/>
      <c r="H84" s="2"/>
      <c r="I84" s="17"/>
      <c r="J84" s="60"/>
      <c r="K84" s="17"/>
      <c r="L84" s="17"/>
      <c r="M84" s="17"/>
      <c r="N84" s="17"/>
      <c r="T84" s="20" t="s">
        <v>110</v>
      </c>
      <c r="U84" s="3" t="str">
        <f>IF('5. Project description'!$B$1=1,"-",IF('5. Project description'!$B$1=2,T87,"-"))</f>
        <v>-</v>
      </c>
      <c r="W84" s="240"/>
    </row>
    <row r="85" spans="1:24" ht="25.5" customHeight="1" x14ac:dyDescent="0.2">
      <c r="A85" s="60">
        <v>4</v>
      </c>
      <c r="B85" s="602" t="s">
        <v>923</v>
      </c>
      <c r="C85" s="603"/>
      <c r="D85" s="60"/>
      <c r="E85" s="405" t="s">
        <v>103</v>
      </c>
      <c r="F85" s="60"/>
      <c r="G85" s="568" t="s">
        <v>114</v>
      </c>
      <c r="H85" s="655"/>
      <c r="I85" s="656"/>
      <c r="J85" s="60"/>
      <c r="K85" s="660" t="s">
        <v>689</v>
      </c>
      <c r="L85" s="653"/>
      <c r="M85" s="653"/>
      <c r="N85" s="653"/>
      <c r="O85" s="654"/>
      <c r="T85" s="20" t="s">
        <v>111</v>
      </c>
      <c r="U85" s="3" t="str">
        <f>IF('5. Project description'!$B$1=1,"-",IF('5. Project description'!$B$1=2,T88,"-"))</f>
        <v>-</v>
      </c>
      <c r="V85" s="11" t="str">
        <f>MID(G85,1,2)</f>
        <v>Va</v>
      </c>
      <c r="W85" s="240" t="str">
        <f>IF(OR(V85="Ba",V85="So",V85="Za"),T$75,IF(G85="","",T$76))</f>
        <v>Croatia</v>
      </c>
    </row>
    <row r="86" spans="1:24" ht="6" customHeight="1" x14ac:dyDescent="0.2">
      <c r="A86" s="60"/>
      <c r="B86" s="17"/>
      <c r="C86" s="60"/>
      <c r="D86" s="60"/>
      <c r="E86" s="17"/>
      <c r="F86" s="60"/>
      <c r="G86" s="2"/>
      <c r="H86" s="2"/>
      <c r="I86" s="17"/>
      <c r="J86" s="60"/>
      <c r="K86" s="17"/>
      <c r="L86" s="17"/>
      <c r="M86" s="17"/>
      <c r="N86" s="17"/>
      <c r="T86" s="20" t="s">
        <v>113</v>
      </c>
      <c r="W86" s="240"/>
    </row>
    <row r="87" spans="1:24" ht="25.5" customHeight="1" x14ac:dyDescent="0.2">
      <c r="A87" s="60">
        <v>5</v>
      </c>
      <c r="B87" s="602"/>
      <c r="C87" s="603"/>
      <c r="D87" s="60"/>
      <c r="E87" s="405" t="str">
        <f>W87</f>
        <v/>
      </c>
      <c r="F87" s="60"/>
      <c r="G87" s="568"/>
      <c r="H87" s="655"/>
      <c r="I87" s="656"/>
      <c r="J87" s="60"/>
      <c r="K87" s="652"/>
      <c r="L87" s="653"/>
      <c r="M87" s="653"/>
      <c r="N87" s="653"/>
      <c r="O87" s="654"/>
      <c r="T87" s="20" t="s">
        <v>114</v>
      </c>
      <c r="V87" s="11" t="str">
        <f>MID(G87,1,2)</f>
        <v/>
      </c>
      <c r="W87" s="240" t="str">
        <f>IF(OR(V87="Ba",V87="So",V87="Za"),T$75,IF(G87="","",T$76))</f>
        <v/>
      </c>
    </row>
    <row r="88" spans="1:24" ht="6" customHeight="1" x14ac:dyDescent="0.2">
      <c r="A88" s="60"/>
      <c r="B88" s="17"/>
      <c r="C88" s="60"/>
      <c r="D88" s="60"/>
      <c r="E88" s="17"/>
      <c r="F88" s="60"/>
      <c r="G88" s="2"/>
      <c r="H88" s="2"/>
      <c r="I88" s="17"/>
      <c r="J88" s="60"/>
      <c r="K88" s="17"/>
      <c r="L88" s="605"/>
      <c r="M88" s="605"/>
      <c r="N88" s="637"/>
      <c r="T88" s="20" t="s">
        <v>116</v>
      </c>
      <c r="W88" s="240"/>
    </row>
    <row r="89" spans="1:24" ht="25.5" customHeight="1" x14ac:dyDescent="0.2">
      <c r="A89" s="60">
        <v>6</v>
      </c>
      <c r="B89" s="602"/>
      <c r="C89" s="603"/>
      <c r="D89" s="60"/>
      <c r="E89" s="405"/>
      <c r="F89" s="60"/>
      <c r="G89" s="568"/>
      <c r="H89" s="655"/>
      <c r="I89" s="656"/>
      <c r="J89" s="60"/>
      <c r="K89" s="652"/>
      <c r="L89" s="653"/>
      <c r="M89" s="653"/>
      <c r="N89" s="653"/>
      <c r="O89" s="654"/>
      <c r="T89" s="3" t="s">
        <v>399</v>
      </c>
      <c r="V89" s="11" t="str">
        <f>MID(G89,1,2)</f>
        <v/>
      </c>
      <c r="W89" s="240" t="str">
        <f>IF(OR(V89="Ba",V89="So",V89="Za"),T$75,IF(G89="","",T$76))</f>
        <v/>
      </c>
    </row>
    <row r="90" spans="1:24" ht="6" customHeight="1" x14ac:dyDescent="0.2">
      <c r="A90" s="60"/>
      <c r="B90" s="61"/>
      <c r="C90" s="60"/>
      <c r="D90" s="60"/>
      <c r="E90" s="61"/>
      <c r="F90" s="60"/>
      <c r="G90" s="2"/>
      <c r="H90" s="2"/>
      <c r="I90" s="63"/>
      <c r="J90" s="60"/>
      <c r="K90" s="63"/>
      <c r="L90" s="63"/>
      <c r="M90" s="63"/>
      <c r="N90" s="17"/>
      <c r="T90" s="20"/>
      <c r="W90" s="240"/>
    </row>
    <row r="91" spans="1:24" ht="25.5" customHeight="1" x14ac:dyDescent="0.2">
      <c r="A91" s="60">
        <v>7</v>
      </c>
      <c r="B91" s="602"/>
      <c r="C91" s="603"/>
      <c r="D91" s="60"/>
      <c r="E91" s="405" t="str">
        <f>W91</f>
        <v/>
      </c>
      <c r="F91" s="60"/>
      <c r="G91" s="568"/>
      <c r="H91" s="655"/>
      <c r="I91" s="656"/>
      <c r="J91" s="60"/>
      <c r="K91" s="652"/>
      <c r="L91" s="653"/>
      <c r="M91" s="653"/>
      <c r="N91" s="653"/>
      <c r="O91" s="654"/>
      <c r="T91" s="20"/>
      <c r="V91" s="11" t="str">
        <f>MID(G91,1,2)</f>
        <v/>
      </c>
      <c r="W91" s="240" t="str">
        <f>IF(OR(V91="Ba",V91="So",V91="Za"),T$75,IF(G91="","",T$76))</f>
        <v/>
      </c>
    </row>
    <row r="92" spans="1:24" ht="6" customHeight="1" x14ac:dyDescent="0.2">
      <c r="A92" s="60"/>
      <c r="B92" s="17"/>
      <c r="C92" s="60"/>
      <c r="D92" s="60"/>
      <c r="E92" s="17"/>
      <c r="F92" s="60"/>
      <c r="G92" s="2"/>
      <c r="H92" s="2"/>
      <c r="I92" s="17"/>
      <c r="J92" s="60"/>
      <c r="K92" s="17"/>
      <c r="L92" s="17"/>
      <c r="M92" s="17"/>
      <c r="N92" s="17"/>
      <c r="T92" s="20"/>
      <c r="W92" s="240"/>
    </row>
    <row r="93" spans="1:24" ht="25.5" customHeight="1" x14ac:dyDescent="0.2">
      <c r="A93" s="60">
        <v>8</v>
      </c>
      <c r="B93" s="602"/>
      <c r="C93" s="603"/>
      <c r="D93" s="60"/>
      <c r="E93" s="405" t="str">
        <f>W93</f>
        <v/>
      </c>
      <c r="F93" s="60"/>
      <c r="G93" s="568"/>
      <c r="H93" s="655"/>
      <c r="I93" s="656"/>
      <c r="J93" s="60"/>
      <c r="K93" s="652"/>
      <c r="L93" s="653"/>
      <c r="M93" s="653"/>
      <c r="N93" s="653"/>
      <c r="O93" s="654"/>
      <c r="T93" s="20"/>
      <c r="V93" s="11" t="str">
        <f>MID(G93,1,2)</f>
        <v/>
      </c>
      <c r="W93" s="240" t="str">
        <f>IF(OR(V93="Ba",V93="So",V93="Za"),T$75,IF(G93="","",T$76))</f>
        <v/>
      </c>
    </row>
    <row r="94" spans="1:24" ht="21" customHeight="1" x14ac:dyDescent="0.25">
      <c r="A94" s="13"/>
      <c r="B94" s="13"/>
      <c r="C94" s="13"/>
      <c r="D94" s="13"/>
      <c r="E94" s="13"/>
      <c r="F94" s="13"/>
      <c r="G94" s="13"/>
      <c r="H94" s="13"/>
      <c r="J94" s="13"/>
      <c r="R94" s="401"/>
      <c r="S94" s="402"/>
      <c r="T94" s="402"/>
      <c r="U94" s="402"/>
      <c r="V94" s="403"/>
      <c r="W94" s="403"/>
      <c r="X94" s="402"/>
    </row>
    <row r="95" spans="1:24" x14ac:dyDescent="0.2">
      <c r="R95" s="4" t="s">
        <v>385</v>
      </c>
      <c r="S95" s="3" t="s">
        <v>384</v>
      </c>
      <c r="T95" s="3" t="s">
        <v>391</v>
      </c>
      <c r="V95" s="178">
        <v>200000</v>
      </c>
      <c r="W95" s="178">
        <v>2000000</v>
      </c>
      <c r="X95" s="3">
        <v>20</v>
      </c>
    </row>
    <row r="96" spans="1:24" ht="16.5" x14ac:dyDescent="0.3">
      <c r="R96" s="4" t="s">
        <v>386</v>
      </c>
      <c r="S96" s="400" t="s">
        <v>388</v>
      </c>
      <c r="T96" s="3" t="s">
        <v>390</v>
      </c>
      <c r="V96" s="314">
        <v>200000</v>
      </c>
      <c r="W96" s="314">
        <v>1500000</v>
      </c>
      <c r="X96" s="315">
        <v>20</v>
      </c>
    </row>
    <row r="97" spans="18:24" x14ac:dyDescent="0.2">
      <c r="R97" s="4" t="s">
        <v>387</v>
      </c>
      <c r="S97" s="3" t="s">
        <v>392</v>
      </c>
      <c r="T97" s="3" t="s">
        <v>395</v>
      </c>
      <c r="V97" s="314">
        <v>100000</v>
      </c>
      <c r="W97" s="314">
        <v>400000</v>
      </c>
      <c r="X97" s="315">
        <v>20</v>
      </c>
    </row>
    <row r="98" spans="18:24" x14ac:dyDescent="0.2">
      <c r="R98" s="4" t="s">
        <v>389</v>
      </c>
      <c r="S98" s="3" t="s">
        <v>396</v>
      </c>
      <c r="V98" s="314">
        <v>150000</v>
      </c>
      <c r="W98" s="314">
        <v>1500000</v>
      </c>
      <c r="X98" s="11">
        <v>20</v>
      </c>
    </row>
    <row r="99" spans="18:24" x14ac:dyDescent="0.2">
      <c r="R99" s="4" t="s">
        <v>393</v>
      </c>
      <c r="V99" s="314">
        <v>150000</v>
      </c>
      <c r="W99" s="314">
        <v>300000</v>
      </c>
      <c r="X99" s="315">
        <v>16</v>
      </c>
    </row>
    <row r="100" spans="18:24" x14ac:dyDescent="0.2">
      <c r="R100" s="4" t="s">
        <v>394</v>
      </c>
      <c r="V100" s="314">
        <v>50000</v>
      </c>
      <c r="W100" s="314">
        <v>200000</v>
      </c>
      <c r="X100" s="315">
        <v>16</v>
      </c>
    </row>
    <row r="101" spans="18:24" x14ac:dyDescent="0.2">
      <c r="R101" s="4" t="s">
        <v>397</v>
      </c>
      <c r="S101" s="4"/>
      <c r="V101" s="314">
        <v>100000</v>
      </c>
      <c r="W101" s="314">
        <v>300000</v>
      </c>
      <c r="X101" s="314">
        <v>16</v>
      </c>
    </row>
    <row r="102" spans="18:24" x14ac:dyDescent="0.2">
      <c r="R102" s="4" t="s">
        <v>398</v>
      </c>
      <c r="V102" s="314">
        <v>100000</v>
      </c>
      <c r="W102" s="314">
        <v>250000</v>
      </c>
      <c r="X102" s="314">
        <v>16</v>
      </c>
    </row>
    <row r="103" spans="18:24" x14ac:dyDescent="0.2">
      <c r="R103" s="4"/>
      <c r="V103" s="314"/>
      <c r="W103" s="314"/>
      <c r="X103" s="314"/>
    </row>
    <row r="104" spans="18:24" x14ac:dyDescent="0.2">
      <c r="R104" s="4"/>
      <c r="V104" s="314"/>
      <c r="W104" s="314"/>
      <c r="X104" s="314"/>
    </row>
    <row r="105" spans="18:24" x14ac:dyDescent="0.2">
      <c r="R105" s="4"/>
      <c r="V105" s="314"/>
      <c r="W105" s="314"/>
      <c r="X105" s="314"/>
    </row>
    <row r="107" spans="18:24" ht="16.5" x14ac:dyDescent="0.2">
      <c r="R107" s="399"/>
    </row>
    <row r="111" spans="18:24" ht="16.5" x14ac:dyDescent="0.3">
      <c r="R111" s="400"/>
    </row>
  </sheetData>
  <sheetProtection password="F58B" sheet="1" objects="1" scenarios="1" formatCells="0" selectLockedCells="1"/>
  <mergeCells count="109">
    <mergeCell ref="G59:I59"/>
    <mergeCell ref="K55:O55"/>
    <mergeCell ref="A59:C59"/>
    <mergeCell ref="A57:C57"/>
    <mergeCell ref="A31:C31"/>
    <mergeCell ref="E31:G31"/>
    <mergeCell ref="G53:I53"/>
    <mergeCell ref="G46:I46"/>
    <mergeCell ref="A48:C48"/>
    <mergeCell ref="A51:C51"/>
    <mergeCell ref="A39:E39"/>
    <mergeCell ref="A35:C35"/>
    <mergeCell ref="A50:C50"/>
    <mergeCell ref="G51:I51"/>
    <mergeCell ref="E44:O44"/>
    <mergeCell ref="K51:O51"/>
    <mergeCell ref="G48:I48"/>
    <mergeCell ref="K48:O48"/>
    <mergeCell ref="K53:O53"/>
    <mergeCell ref="K46:O46"/>
    <mergeCell ref="G55:I55"/>
    <mergeCell ref="G93:I93"/>
    <mergeCell ref="K91:O91"/>
    <mergeCell ref="K93:O93"/>
    <mergeCell ref="G57:I57"/>
    <mergeCell ref="G91:I91"/>
    <mergeCell ref="G83:I83"/>
    <mergeCell ref="L88:N88"/>
    <mergeCell ref="G85:I85"/>
    <mergeCell ref="G87:I87"/>
    <mergeCell ref="G89:I89"/>
    <mergeCell ref="K85:O85"/>
    <mergeCell ref="K89:O89"/>
    <mergeCell ref="G81:I81"/>
    <mergeCell ref="K79:O79"/>
    <mergeCell ref="K81:O81"/>
    <mergeCell ref="K83:O83"/>
    <mergeCell ref="G70:I70"/>
    <mergeCell ref="K70:O70"/>
    <mergeCell ref="K72:O72"/>
    <mergeCell ref="K77:O77"/>
    <mergeCell ref="G72:I72"/>
    <mergeCell ref="G77:I77"/>
    <mergeCell ref="K66:O66"/>
    <mergeCell ref="K57:O57"/>
    <mergeCell ref="K68:O68"/>
    <mergeCell ref="K87:O87"/>
    <mergeCell ref="B79:C79"/>
    <mergeCell ref="B81:C81"/>
    <mergeCell ref="G79:I79"/>
    <mergeCell ref="K61:O61"/>
    <mergeCell ref="G68:I68"/>
    <mergeCell ref="G63:I63"/>
    <mergeCell ref="G66:I66"/>
    <mergeCell ref="A61:C61"/>
    <mergeCell ref="A63:C63"/>
    <mergeCell ref="A66:C66"/>
    <mergeCell ref="A68:C68"/>
    <mergeCell ref="A72:C72"/>
    <mergeCell ref="A70:C70"/>
    <mergeCell ref="A65:E65"/>
    <mergeCell ref="C13:M13"/>
    <mergeCell ref="C9:M9"/>
    <mergeCell ref="C14:M14"/>
    <mergeCell ref="C16:M16"/>
    <mergeCell ref="E10:K10"/>
    <mergeCell ref="A21:C21"/>
    <mergeCell ref="E21:O21"/>
    <mergeCell ref="G17:I17"/>
    <mergeCell ref="K63:O63"/>
    <mergeCell ref="K59:O59"/>
    <mergeCell ref="L60:N60"/>
    <mergeCell ref="G61:I61"/>
    <mergeCell ref="A23:C23"/>
    <mergeCell ref="E23:O23"/>
    <mergeCell ref="A25:C25"/>
    <mergeCell ref="E25:O25"/>
    <mergeCell ref="M27:O27"/>
    <mergeCell ref="A27:C27"/>
    <mergeCell ref="A30:C30"/>
    <mergeCell ref="I31:K31"/>
    <mergeCell ref="K39:O40"/>
    <mergeCell ref="A53:C53"/>
    <mergeCell ref="A55:C55"/>
    <mergeCell ref="A33:E33"/>
    <mergeCell ref="A2:O2"/>
    <mergeCell ref="C3:G3"/>
    <mergeCell ref="A6:O6"/>
    <mergeCell ref="J3:O3"/>
    <mergeCell ref="H3:I3"/>
    <mergeCell ref="A3:B3"/>
    <mergeCell ref="B91:C91"/>
    <mergeCell ref="B93:C93"/>
    <mergeCell ref="B87:C87"/>
    <mergeCell ref="B89:C89"/>
    <mergeCell ref="A37:C37"/>
    <mergeCell ref="B83:C83"/>
    <mergeCell ref="A44:C44"/>
    <mergeCell ref="B85:C85"/>
    <mergeCell ref="B46:C46"/>
    <mergeCell ref="B77:C77"/>
    <mergeCell ref="E30:G30"/>
    <mergeCell ref="M30:O30"/>
    <mergeCell ref="I30:K30"/>
    <mergeCell ref="M31:O31"/>
    <mergeCell ref="M28:O28"/>
    <mergeCell ref="E32:O32"/>
    <mergeCell ref="A8:O8"/>
    <mergeCell ref="C11:M11"/>
  </mergeCells>
  <phoneticPr fontId="3" type="noConversion"/>
  <conditionalFormatting sqref="E10 N10">
    <cfRule type="cellIs" dxfId="610" priority="19" stopIfTrue="1" operator="notEqual">
      <formula>$Q$10</formula>
    </cfRule>
  </conditionalFormatting>
  <conditionalFormatting sqref="A39:C39 E39">
    <cfRule type="cellIs" dxfId="609" priority="16" stopIfTrue="1" operator="notEqual">
      <formula>$Q$39</formula>
    </cfRule>
  </conditionalFormatting>
  <conditionalFormatting sqref="A37:C37">
    <cfRule type="cellIs" dxfId="608" priority="17" stopIfTrue="1" operator="notEqual">
      <formula>$P$37</formula>
    </cfRule>
  </conditionalFormatting>
  <conditionalFormatting sqref="A35:B35">
    <cfRule type="cellIs" dxfId="607" priority="4" stopIfTrue="1" operator="notEqual">
      <formula>$P$35</formula>
    </cfRule>
  </conditionalFormatting>
  <conditionalFormatting sqref="D21:O21">
    <cfRule type="cellIs" dxfId="606" priority="12" stopIfTrue="1" operator="equal">
      <formula>"#VALUE!"</formula>
    </cfRule>
  </conditionalFormatting>
  <conditionalFormatting sqref="C13:N13">
    <cfRule type="cellIs" dxfId="605" priority="20" stopIfTrue="1" operator="notEqual">
      <formula>$Q$13</formula>
    </cfRule>
  </conditionalFormatting>
  <conditionalFormatting sqref="N16 L16 L9">
    <cfRule type="cellIs" dxfId="604" priority="21" stopIfTrue="1" operator="notEqual">
      <formula>$Q$16</formula>
    </cfRule>
  </conditionalFormatting>
  <conditionalFormatting sqref="A25:C25">
    <cfRule type="cellIs" dxfId="603" priority="22" stopIfTrue="1" operator="notEqual">
      <formula>$Q$25</formula>
    </cfRule>
  </conditionalFormatting>
  <conditionalFormatting sqref="E40">
    <cfRule type="cellIs" dxfId="602" priority="33" stopIfTrue="1" operator="equal">
      <formula>$T$35</formula>
    </cfRule>
    <cfRule type="cellIs" dxfId="601" priority="34" stopIfTrue="1" operator="equal">
      <formula>$T$37</formula>
    </cfRule>
  </conditionalFormatting>
  <conditionalFormatting sqref="K39:O40">
    <cfRule type="cellIs" dxfId="600" priority="2" stopIfTrue="1" operator="equal">
      <formula>$X$39</formula>
    </cfRule>
  </conditionalFormatting>
  <conditionalFormatting sqref="E32:O32">
    <cfRule type="cellIs" dxfId="599" priority="1" stopIfTrue="1" operator="equal">
      <formula>$Q$28</formula>
    </cfRule>
  </conditionalFormatting>
  <dataValidations count="14">
    <dataValidation type="textLength" allowBlank="1" showInputMessage="1" showErrorMessage="1" sqref="K81:N81 K83:N83 K85:N85 K87:N87 K89:N89 K91:N91 K93:N93 K79">
      <formula1>0</formula1>
      <formula2>80</formula2>
    </dataValidation>
    <dataValidation type="list" allowBlank="1" showInputMessage="1" showErrorMessage="1" sqref="E80 B80">
      <formula1>$T$60:$T$61</formula1>
    </dataValidation>
    <dataValidation type="list" allowBlank="1" showInputMessage="1" showErrorMessage="1" sqref="I35 I37">
      <formula1>$P$1:$P$12</formula1>
    </dataValidation>
    <dataValidation type="list" allowBlank="1" showInputMessage="1" showErrorMessage="1" sqref="L37 N37 L35:N35">
      <formula1>$Q$1:$Q$7</formula1>
    </dataValidation>
    <dataValidation type="list" allowBlank="1" showInputMessage="1" showErrorMessage="1" sqref="F37 J37 J35 D37 D35 F35">
      <formula1>$P$1:$P$39</formula1>
    </dataValidation>
    <dataValidation type="list" allowBlank="1" showInputMessage="1" showErrorMessage="1" sqref="E35 E37">
      <formula1>$P$1:$P$31</formula1>
    </dataValidation>
    <dataValidation type="list" allowBlank="1" showInputMessage="1" showErrorMessage="1" sqref="B79:C79 B81:C81 B83:C83 B85:C85 B87:C87 B89:C89 B91:C91 B93:C93">
      <formula1>$Y$2:$Y$9</formula1>
    </dataValidation>
    <dataValidation type="textLength" operator="lessThanOrEqual" allowBlank="1" showInputMessage="1" showErrorMessage="1" sqref="C11:M11">
      <formula1>200</formula1>
    </dataValidation>
    <dataValidation type="textLength" operator="lessThanOrEqual" allowBlank="1" showInputMessage="1" showErrorMessage="1" sqref="C14:M14">
      <formula1>30</formula1>
    </dataValidation>
    <dataValidation type="list" allowBlank="1" showInputMessage="1" showErrorMessage="1" sqref="D25">
      <formula1>$R$94:$R$105</formula1>
    </dataValidation>
    <dataValidation type="list" allowBlank="1" showInputMessage="1" showErrorMessage="1" sqref="M37">
      <formula1>$Q$2:$Q$7</formula1>
    </dataValidation>
    <dataValidation type="list" allowBlank="1" showInputMessage="1" showErrorMessage="1" sqref="E25:O25">
      <formula1>$R$95:$R$102</formula1>
    </dataValidation>
    <dataValidation type="list" allowBlank="1" showInputMessage="1" showErrorMessage="1" sqref="G79:I79 G81:I81 G83:I83 G85:I85 G87:I87 G89:I89 G91:I91 G93:I93">
      <formula1>$T$78:$T$89</formula1>
    </dataValidation>
    <dataValidation type="list" allowBlank="1" showInputMessage="1" showErrorMessage="1" sqref="E79 E81 E83 E85 E87 E89 E91 E93">
      <formula1>$T$75:$T$77</formula1>
    </dataValidation>
  </dataValidations>
  <pageMargins left="0.9055118110236221" right="0.31496062992125984" top="0.74803149606299213" bottom="0.39370078740157483" header="0.31496062992125984" footer="0.11811023622047245"/>
  <pageSetup orientation="landscape" horizontalDpi="300" verticalDpi="300"/>
  <headerFooter>
    <oddFooter xml:space="preserve">&amp;C&amp;"Arial,Italic"&amp;8&amp;A&amp;R&amp;"Arial,Italic"&amp;8Page &amp;P of &amp;N &amp;"Arial,Regular"&amp;10  </oddFooter>
  </headerFooter>
  <rowBreaks count="2" manualBreakCount="2">
    <brk id="40" max="16383" man="1"/>
    <brk id="74" max="16383" man="1"/>
  </rowBreaks>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1"/>
  <sheetViews>
    <sheetView workbookViewId="0">
      <selection activeCell="L10" sqref="L10"/>
    </sheetView>
  </sheetViews>
  <sheetFormatPr defaultColWidth="9.140625" defaultRowHeight="12.75" x14ac:dyDescent="0.2"/>
  <cols>
    <col min="1" max="1" width="2.85546875" style="80" customWidth="1"/>
    <col min="2" max="2" width="45.7109375" style="44" customWidth="1"/>
    <col min="3" max="3" width="0.42578125" style="70" customWidth="1"/>
    <col min="4" max="4" width="30.7109375" style="44" customWidth="1"/>
    <col min="5" max="5" width="0.42578125" style="70" customWidth="1"/>
    <col min="6" max="6" width="16.42578125" style="44" customWidth="1"/>
    <col min="7" max="7" width="0.42578125" style="70" customWidth="1"/>
    <col min="8" max="8" width="10.7109375" style="44" customWidth="1"/>
    <col min="9" max="9" width="0.42578125" style="70" customWidth="1"/>
    <col min="10" max="10" width="15" style="44" customWidth="1"/>
    <col min="11" max="11" width="0.42578125" style="70" customWidth="1"/>
    <col min="12" max="12" width="13.7109375" style="44" customWidth="1"/>
    <col min="13" max="13" width="0.42578125" style="70" customWidth="1"/>
    <col min="14" max="14" width="9" style="44" customWidth="1"/>
    <col min="15" max="15" width="34.28515625" style="85" hidden="1" customWidth="1"/>
    <col min="16" max="16" width="9.140625" style="79" hidden="1" customWidth="1"/>
    <col min="17" max="17" width="15.42578125" style="79" hidden="1" customWidth="1"/>
    <col min="18" max="22" width="9.140625" style="79" hidden="1" customWidth="1"/>
    <col min="23" max="16384" width="9.140625" style="79"/>
  </cols>
  <sheetData>
    <row r="1" spans="1:29" ht="22.5" customHeight="1" x14ac:dyDescent="0.2">
      <c r="A1" s="738" t="s">
        <v>333</v>
      </c>
      <c r="B1" s="739"/>
      <c r="C1" s="256"/>
      <c r="D1" s="740" t="str">
        <f>CONCATENATE("B4 - ",P5)</f>
        <v xml:space="preserve">B4 - </v>
      </c>
      <c r="E1" s="741"/>
      <c r="F1" s="741"/>
      <c r="G1" s="741"/>
      <c r="H1" s="741"/>
      <c r="I1" s="741"/>
      <c r="J1" s="741"/>
      <c r="K1" s="741"/>
      <c r="L1" s="741"/>
      <c r="M1" s="741"/>
      <c r="N1" s="741"/>
      <c r="R1" s="79" t="s">
        <v>167</v>
      </c>
      <c r="S1" s="79" t="s">
        <v>167</v>
      </c>
      <c r="T1" s="79" t="s">
        <v>167</v>
      </c>
    </row>
    <row r="2" spans="1:29" x14ac:dyDescent="0.2">
      <c r="C2" s="44"/>
      <c r="E2" s="44"/>
      <c r="G2" s="44"/>
      <c r="I2" s="44"/>
      <c r="K2" s="44"/>
      <c r="M2" s="44"/>
      <c r="O2" s="44"/>
      <c r="P2" s="44"/>
      <c r="Q2" s="44"/>
      <c r="R2" s="44"/>
      <c r="S2" s="44"/>
      <c r="T2" s="44"/>
      <c r="U2" s="44"/>
      <c r="V2" s="44"/>
      <c r="W2" s="44"/>
      <c r="X2" s="44"/>
      <c r="Y2" s="44"/>
      <c r="Z2" s="44"/>
      <c r="AA2" s="44"/>
      <c r="AB2" s="44"/>
      <c r="AC2" s="44"/>
    </row>
    <row r="3" spans="1:29" x14ac:dyDescent="0.2">
      <c r="B3" s="101" t="s">
        <v>139</v>
      </c>
      <c r="C3" s="44"/>
      <c r="D3" s="712" t="str">
        <f>T('1. General Data'!C14:M14)</f>
        <v>Happy Bike</v>
      </c>
      <c r="E3" s="713"/>
      <c r="F3" s="713"/>
      <c r="G3" s="713"/>
      <c r="H3" s="713"/>
      <c r="I3" s="713"/>
      <c r="J3" s="713"/>
      <c r="K3" s="713"/>
      <c r="L3" s="713"/>
      <c r="M3" s="713"/>
      <c r="N3" s="714"/>
      <c r="O3" s="44"/>
      <c r="P3" s="44"/>
      <c r="Q3" s="44"/>
      <c r="R3" s="44"/>
      <c r="S3" s="44"/>
      <c r="T3" s="44"/>
      <c r="U3" s="44"/>
      <c r="V3" s="44"/>
      <c r="W3" s="44"/>
      <c r="X3" s="44"/>
      <c r="Y3" s="44"/>
      <c r="Z3" s="44"/>
      <c r="AA3" s="44"/>
      <c r="AB3" s="44"/>
      <c r="AC3" s="44"/>
    </row>
    <row r="4" spans="1:29" ht="6" customHeight="1" x14ac:dyDescent="0.2">
      <c r="C4" s="44"/>
      <c r="E4" s="44"/>
      <c r="G4" s="44"/>
      <c r="I4" s="44"/>
      <c r="K4" s="44"/>
      <c r="M4" s="44"/>
      <c r="O4" s="44"/>
      <c r="P4" s="44"/>
      <c r="Q4" s="44"/>
      <c r="R4" s="44"/>
      <c r="S4" s="44"/>
      <c r="T4" s="44"/>
      <c r="U4" s="44"/>
      <c r="V4" s="44"/>
      <c r="W4" s="44"/>
      <c r="X4" s="44"/>
      <c r="Y4" s="44"/>
      <c r="Z4" s="44"/>
      <c r="AA4" s="44"/>
      <c r="AB4" s="44"/>
      <c r="AC4" s="44"/>
    </row>
    <row r="5" spans="1:29" x14ac:dyDescent="0.2">
      <c r="B5" s="101" t="s">
        <v>138</v>
      </c>
      <c r="C5" s="44"/>
      <c r="D5" s="712" t="str">
        <f>T(LEFT('2. LB data'!C5,80))</f>
        <v>Letenye Város Önkormányzata</v>
      </c>
      <c r="E5" s="713"/>
      <c r="F5" s="713"/>
      <c r="G5" s="713"/>
      <c r="H5" s="713"/>
      <c r="I5" s="713"/>
      <c r="J5" s="713"/>
      <c r="K5" s="713"/>
      <c r="L5" s="713"/>
      <c r="M5" s="713"/>
      <c r="N5" s="714"/>
      <c r="O5" s="44"/>
      <c r="P5" s="236" t="str">
        <f>LEFT('2. B4 data'!C5,80)</f>
        <v/>
      </c>
      <c r="Q5" s="44"/>
      <c r="R5" s="44"/>
      <c r="S5" s="44"/>
      <c r="T5" s="44"/>
      <c r="U5" s="44"/>
      <c r="V5" s="44"/>
      <c r="W5" s="44"/>
      <c r="X5" s="44"/>
      <c r="Y5" s="44"/>
      <c r="Z5" s="44"/>
      <c r="AA5" s="44"/>
      <c r="AB5" s="44"/>
      <c r="AC5" s="44"/>
    </row>
    <row r="6" spans="1:29" x14ac:dyDescent="0.2">
      <c r="B6" s="152"/>
      <c r="D6" s="152"/>
      <c r="F6" s="152"/>
      <c r="H6" s="152"/>
      <c r="J6" s="152"/>
      <c r="L6" s="152"/>
    </row>
    <row r="7" spans="1:29" x14ac:dyDescent="0.2">
      <c r="B7" s="152"/>
      <c r="D7" s="152"/>
      <c r="F7" s="152"/>
      <c r="H7" s="152"/>
      <c r="J7" s="152"/>
      <c r="L7" s="152"/>
    </row>
    <row r="8" spans="1:29" ht="28.5" customHeight="1" x14ac:dyDescent="0.2">
      <c r="A8" s="269" t="s">
        <v>30</v>
      </c>
      <c r="B8" s="289" t="s">
        <v>39</v>
      </c>
      <c r="C8" s="281"/>
      <c r="D8" s="767" t="s">
        <v>652</v>
      </c>
      <c r="E8" s="768"/>
      <c r="F8" s="768"/>
      <c r="G8" s="768"/>
      <c r="H8" s="769"/>
      <c r="I8" s="281"/>
      <c r="J8" s="289" t="s">
        <v>18</v>
      </c>
      <c r="K8" s="282"/>
      <c r="L8" s="284">
        <f>L10+L12+L40+L42+L99+L206+L228</f>
        <v>0</v>
      </c>
      <c r="M8" s="283"/>
      <c r="N8" s="290">
        <f>IF(L$8=0,0%,L8/L$8)</f>
        <v>0</v>
      </c>
      <c r="O8" s="85">
        <f>IF(O10&gt;0,D8,0)</f>
        <v>0</v>
      </c>
      <c r="P8" s="231"/>
      <c r="Q8" s="231" t="str">
        <f>IF(AND(Q10=P8,Q17=P8,Q149=P8,Q248=P8)," ",D8)</f>
        <v xml:space="preserve"> </v>
      </c>
    </row>
    <row r="9" spans="1:29" s="76" customFormat="1" ht="3" customHeight="1" x14ac:dyDescent="0.2">
      <c r="A9" s="87"/>
      <c r="B9" s="88"/>
      <c r="C9" s="88"/>
      <c r="D9" s="70"/>
      <c r="E9" s="70"/>
      <c r="F9" s="70"/>
      <c r="G9" s="70"/>
      <c r="H9" s="70"/>
      <c r="I9" s="70"/>
      <c r="J9" s="70"/>
      <c r="K9" s="88"/>
      <c r="L9" s="281"/>
      <c r="M9" s="70"/>
      <c r="N9" s="70"/>
      <c r="O9" s="89"/>
    </row>
    <row r="10" spans="1:29" ht="27" customHeight="1" x14ac:dyDescent="0.2">
      <c r="A10" s="247">
        <v>1</v>
      </c>
      <c r="B10" s="248" t="s">
        <v>60</v>
      </c>
      <c r="C10" s="249"/>
      <c r="D10" s="764" t="s">
        <v>280</v>
      </c>
      <c r="E10" s="765"/>
      <c r="F10" s="765"/>
      <c r="G10" s="765"/>
      <c r="H10" s="766"/>
      <c r="I10" s="250"/>
      <c r="J10" s="251" t="s">
        <v>18</v>
      </c>
      <c r="K10" s="249"/>
      <c r="L10" s="357">
        <v>0</v>
      </c>
      <c r="M10" s="287"/>
      <c r="N10" s="288">
        <f>IF(L10=0,0%,L10/L$8)</f>
        <v>0</v>
      </c>
      <c r="O10" s="497">
        <f>SUM(O11:O260)</f>
        <v>0</v>
      </c>
      <c r="P10" s="231"/>
      <c r="Q10" s="231" t="str">
        <f>IF(N10&gt;P10,D10,"")</f>
        <v/>
      </c>
    </row>
    <row r="11" spans="1:29" x14ac:dyDescent="0.2">
      <c r="B11" s="104"/>
      <c r="C11" s="88"/>
      <c r="D11" s="81"/>
      <c r="F11" s="81"/>
      <c r="H11" s="81"/>
      <c r="J11" s="81"/>
      <c r="K11" s="88"/>
      <c r="L11" s="81"/>
      <c r="N11" s="227"/>
    </row>
    <row r="12" spans="1:29" ht="27" customHeight="1" x14ac:dyDescent="0.2">
      <c r="A12" s="247">
        <v>2</v>
      </c>
      <c r="B12" s="248" t="s">
        <v>285</v>
      </c>
      <c r="C12" s="249"/>
      <c r="D12" s="770" t="str">
        <f>IF(AND(L14&gt;0,L16&gt;0),"Calculation of staff costs should be either on flat rate or on real cost basis (both options cannot be used together)!"," ")</f>
        <v xml:space="preserve"> </v>
      </c>
      <c r="E12" s="771"/>
      <c r="F12" s="771"/>
      <c r="G12" s="771"/>
      <c r="H12" s="772"/>
      <c r="I12" s="250"/>
      <c r="J12" s="251" t="s">
        <v>18</v>
      </c>
      <c r="K12" s="249"/>
      <c r="L12" s="252">
        <f>IF(L14&gt;0,L14,L16)</f>
        <v>0</v>
      </c>
      <c r="M12" s="250"/>
      <c r="N12" s="253">
        <f>IF(L12=0,0%,L12/L$8)</f>
        <v>0</v>
      </c>
      <c r="O12" s="495">
        <f>IF(LEN(D12)&gt;1,1,0)</f>
        <v>0</v>
      </c>
      <c r="P12" s="95"/>
    </row>
    <row r="13" spans="1:29" s="76" customFormat="1" ht="7.5" customHeight="1" x14ac:dyDescent="0.2">
      <c r="A13" s="87"/>
      <c r="B13" s="88"/>
      <c r="C13" s="88"/>
      <c r="D13" s="70"/>
      <c r="E13" s="70"/>
      <c r="F13" s="70"/>
      <c r="G13" s="70"/>
      <c r="H13" s="70"/>
      <c r="I13" s="70"/>
      <c r="J13" s="70"/>
      <c r="K13" s="88"/>
      <c r="L13" s="70"/>
      <c r="M13" s="70"/>
      <c r="N13" s="70"/>
      <c r="O13" s="89"/>
      <c r="V13" s="79"/>
    </row>
    <row r="14" spans="1:29" ht="25.5" x14ac:dyDescent="0.2">
      <c r="A14" s="347"/>
      <c r="B14" s="348" t="s">
        <v>313</v>
      </c>
      <c r="C14" s="345"/>
      <c r="D14" s="777" t="s">
        <v>282</v>
      </c>
      <c r="E14" s="778"/>
      <c r="F14" s="778"/>
      <c r="G14" s="778"/>
      <c r="H14" s="779"/>
      <c r="I14" s="346"/>
      <c r="J14" s="349" t="s">
        <v>18</v>
      </c>
      <c r="K14" s="88"/>
      <c r="L14" s="156">
        <f>FLOOR(IF(D14=V15,IF((L228&gt;0),IF((L99+L208+L228)*0.1&gt;P14,P14,(L99+L208+L228)*0.1),IF((L99+L208+L228)*0.2&gt;P14,P14,(L99+L208+L228)*0.2)),0),0.01)</f>
        <v>0</v>
      </c>
      <c r="M14" s="246"/>
      <c r="N14" s="147">
        <f>IF(L14=0,0%,L14/L$8)</f>
        <v>0</v>
      </c>
      <c r="O14" s="353"/>
      <c r="P14" s="356">
        <v>100000</v>
      </c>
      <c r="Q14" s="231" t="str">
        <f>IF(L14&gt;P14,D14,"")</f>
        <v/>
      </c>
      <c r="R14" s="79" t="e">
        <f>IF(AND(R20="NOT",R21="NOT",R22="NOT",R23="NOT",R24="NOT",R25="NOT",S20="NOT",S21="NOT",S22="NOT",S23="NOT",S24="NOT",S25="NOT",T20="NOT",T21="NOT",T22="NOT",T23="NOT",T24="NOT",T25="NOT",#REF!="NOT"),"NOT",D14)</f>
        <v>#REF!</v>
      </c>
      <c r="V14" s="79" t="s">
        <v>282</v>
      </c>
    </row>
    <row r="15" spans="1:29" s="76" customFormat="1" ht="27" customHeight="1" x14ac:dyDescent="0.2">
      <c r="A15" s="87"/>
      <c r="B15" s="780" t="s">
        <v>599</v>
      </c>
      <c r="C15" s="781"/>
      <c r="D15" s="781"/>
      <c r="E15" s="781"/>
      <c r="F15" s="781"/>
      <c r="G15" s="781"/>
      <c r="H15" s="781"/>
      <c r="I15" s="781"/>
      <c r="J15" s="781"/>
      <c r="K15" s="781"/>
      <c r="L15" s="781"/>
      <c r="M15" s="70"/>
      <c r="N15" s="70"/>
      <c r="O15" s="353"/>
      <c r="P15" s="354"/>
      <c r="Q15" s="355"/>
      <c r="V15" s="79" t="s">
        <v>644</v>
      </c>
    </row>
    <row r="16" spans="1:29" ht="25.5" customHeight="1" x14ac:dyDescent="0.2">
      <c r="A16" s="347"/>
      <c r="B16" s="348" t="s">
        <v>281</v>
      </c>
      <c r="C16" s="345"/>
      <c r="D16" s="773" t="s">
        <v>166</v>
      </c>
      <c r="E16" s="774"/>
      <c r="F16" s="774"/>
      <c r="G16" s="774"/>
      <c r="H16" s="775"/>
      <c r="I16" s="346"/>
      <c r="J16" s="349" t="s">
        <v>18</v>
      </c>
      <c r="K16" s="88"/>
      <c r="L16" s="156">
        <f>SUM(L23:L37)</f>
        <v>0</v>
      </c>
      <c r="M16" s="246"/>
      <c r="N16" s="147">
        <f>IF(L16=0,0%,L16/L$8)</f>
        <v>0</v>
      </c>
      <c r="O16" s="495">
        <f>IF(LEN(R16)&gt;3,1,0)</f>
        <v>0</v>
      </c>
      <c r="R16" s="494" t="str">
        <f>IF(AND(R22="NOT",S22="NOT",T22="NOT",R18="NOT"),"NOT",D16)</f>
        <v>NOT</v>
      </c>
      <c r="V16" s="79" t="s">
        <v>283</v>
      </c>
    </row>
    <row r="17" spans="1:22" s="76" customFormat="1" ht="15" customHeight="1" x14ac:dyDescent="0.2">
      <c r="A17" s="87"/>
      <c r="B17" s="752"/>
      <c r="C17" s="776"/>
      <c r="D17" s="776"/>
      <c r="E17" s="776"/>
      <c r="F17" s="776"/>
      <c r="G17" s="776"/>
      <c r="H17" s="776"/>
      <c r="I17" s="776"/>
      <c r="J17" s="776"/>
      <c r="K17" s="776"/>
      <c r="L17" s="776"/>
      <c r="M17" s="70"/>
      <c r="N17" s="70"/>
      <c r="O17" s="353"/>
      <c r="P17" s="271"/>
      <c r="Q17" s="231"/>
      <c r="V17" s="79"/>
    </row>
    <row r="18" spans="1:22" x14ac:dyDescent="0.2">
      <c r="B18" s="742" t="s">
        <v>84</v>
      </c>
      <c r="C18" s="743"/>
      <c r="D18" s="743"/>
      <c r="E18" s="743"/>
      <c r="F18" s="743"/>
      <c r="H18" s="81"/>
      <c r="J18" s="81"/>
      <c r="K18" s="88"/>
      <c r="L18" s="81"/>
      <c r="N18" s="227"/>
      <c r="R18" s="494" t="str">
        <f>IF(AND(($L16&gt;0),ISBLANK(B20)),B18,"NOT")</f>
        <v>NOT</v>
      </c>
    </row>
    <row r="19" spans="1:22" ht="3" customHeight="1" x14ac:dyDescent="0.2">
      <c r="B19" s="104"/>
      <c r="C19" s="88"/>
      <c r="D19" s="81"/>
      <c r="F19" s="81"/>
      <c r="H19" s="81"/>
      <c r="J19" s="81"/>
      <c r="K19" s="88"/>
      <c r="L19" s="81"/>
      <c r="N19" s="227"/>
    </row>
    <row r="20" spans="1:22" ht="81" customHeight="1" x14ac:dyDescent="0.2">
      <c r="B20" s="744"/>
      <c r="C20" s="745"/>
      <c r="D20" s="745"/>
      <c r="E20" s="745"/>
      <c r="F20" s="745"/>
      <c r="G20" s="745"/>
      <c r="H20" s="745"/>
      <c r="I20" s="745"/>
      <c r="J20" s="745"/>
      <c r="K20" s="745"/>
      <c r="L20" s="746"/>
      <c r="M20" s="70" t="s">
        <v>19</v>
      </c>
      <c r="N20" s="227"/>
    </row>
    <row r="21" spans="1:22" ht="3.75" customHeight="1" x14ac:dyDescent="0.2">
      <c r="B21" s="104"/>
      <c r="C21" s="88"/>
      <c r="D21" s="81"/>
      <c r="F21" s="81"/>
      <c r="H21" s="81"/>
      <c r="J21" s="81"/>
      <c r="K21" s="88"/>
      <c r="L21" s="81"/>
      <c r="N21" s="227"/>
    </row>
    <row r="22" spans="1:22" ht="38.25" x14ac:dyDescent="0.2">
      <c r="B22" s="244" t="s">
        <v>201</v>
      </c>
      <c r="C22" s="88"/>
      <c r="D22" s="244" t="s">
        <v>580</v>
      </c>
      <c r="F22" s="244" t="s">
        <v>205</v>
      </c>
      <c r="H22" s="244" t="s">
        <v>16</v>
      </c>
      <c r="J22" s="244" t="s">
        <v>15</v>
      </c>
      <c r="K22" s="245"/>
      <c r="L22" s="103" t="s">
        <v>141</v>
      </c>
      <c r="N22" s="81"/>
      <c r="R22" s="496" t="str">
        <f>IF(AND(R23="NOT",R24="NOT",R25="NOT",R26="NOT",R27="NOT",R28="NOT",R29="NOT",R30="NOT",R31="NOT",R32="NOT",R33="NOT",R34="NOT",R35="NOT",R36="NOT",R37="NOT"),"NOT",1)</f>
        <v>NOT</v>
      </c>
      <c r="S22" s="496" t="str">
        <f>IF(AND(S23="NOT",S24="NOT",S25="NOT",S26="NOT",S27="NOT",S28="NOT",S29="NOT",S30="NOT",S31="NOT",S32="NOT",S33="NOT",S34="NOT",S35="NOT",S36="NOT",S37="NOT"),"NOT",1)</f>
        <v>NOT</v>
      </c>
      <c r="T22" s="496" t="str">
        <f>IF(AND(T23="NOT",T24="NOT",T25="NOT",T26="NOT",T27="NOT",T28="NOT",T29="NOT",T30="NOT",T31="NOT",T32="NOT",T33="NOT",T34="NOT",T35="NOT",T36="NOT",T37="NOT"),"NOT",1)</f>
        <v>NOT</v>
      </c>
    </row>
    <row r="23" spans="1:22" x14ac:dyDescent="0.2">
      <c r="B23" s="259"/>
      <c r="C23" s="88"/>
      <c r="D23" s="260"/>
      <c r="E23" s="243"/>
      <c r="F23" s="261" t="s">
        <v>85</v>
      </c>
      <c r="G23" s="243"/>
      <c r="H23" s="262"/>
      <c r="I23" s="243"/>
      <c r="J23" s="262"/>
      <c r="K23" s="88"/>
      <c r="L23" s="143">
        <f t="shared" ref="L23:L37" si="0">TRUNC(H23*J23,2)</f>
        <v>0</v>
      </c>
      <c r="N23" s="81"/>
      <c r="R23" s="79" t="str">
        <f t="shared" ref="R23:R37" si="1">IF(AND(($L23&gt;0),ISBLANK(B23)),B23,"NOT")</f>
        <v>NOT</v>
      </c>
      <c r="S23" s="79" t="str">
        <f t="shared" ref="S23:S37" si="2">IF(AND(($L23&gt;0),ISBLANK(D23)),D23,"NOT")</f>
        <v>NOT</v>
      </c>
      <c r="T23" s="79" t="str">
        <f t="shared" ref="T23:T37" si="3">IF(AND(($L23&gt;0),ISBLANK(F23)),F23,"NOT")</f>
        <v>NOT</v>
      </c>
      <c r="V23" s="79" t="str">
        <f>LEFT(D23,3)</f>
        <v/>
      </c>
    </row>
    <row r="24" spans="1:22" x14ac:dyDescent="0.2">
      <c r="B24" s="259"/>
      <c r="C24" s="88"/>
      <c r="D24" s="260"/>
      <c r="E24" s="243"/>
      <c r="F24" s="261" t="s">
        <v>85</v>
      </c>
      <c r="G24" s="243"/>
      <c r="H24" s="262"/>
      <c r="I24" s="243"/>
      <c r="J24" s="262"/>
      <c r="K24" s="88"/>
      <c r="L24" s="143">
        <f t="shared" si="0"/>
        <v>0</v>
      </c>
      <c r="N24" s="81"/>
      <c r="R24" s="79" t="str">
        <f t="shared" si="1"/>
        <v>NOT</v>
      </c>
      <c r="S24" s="79" t="str">
        <f t="shared" si="2"/>
        <v>NOT</v>
      </c>
      <c r="T24" s="79" t="str">
        <f t="shared" si="3"/>
        <v>NOT</v>
      </c>
      <c r="V24" s="79" t="str">
        <f t="shared" ref="V24:V78" si="4">LEFT(D24,3)</f>
        <v/>
      </c>
    </row>
    <row r="25" spans="1:22" x14ac:dyDescent="0.2">
      <c r="B25" s="259"/>
      <c r="C25" s="88"/>
      <c r="D25" s="260"/>
      <c r="E25" s="243"/>
      <c r="F25" s="261" t="s">
        <v>85</v>
      </c>
      <c r="G25" s="243"/>
      <c r="H25" s="262"/>
      <c r="I25" s="243"/>
      <c r="J25" s="262"/>
      <c r="K25" s="88"/>
      <c r="L25" s="143">
        <f t="shared" si="0"/>
        <v>0</v>
      </c>
      <c r="N25" s="81"/>
      <c r="R25" s="79" t="str">
        <f t="shared" si="1"/>
        <v>NOT</v>
      </c>
      <c r="S25" s="79" t="str">
        <f t="shared" si="2"/>
        <v>NOT</v>
      </c>
      <c r="T25" s="79" t="str">
        <f t="shared" si="3"/>
        <v>NOT</v>
      </c>
      <c r="V25" s="79" t="str">
        <f t="shared" si="4"/>
        <v/>
      </c>
    </row>
    <row r="26" spans="1:22" x14ac:dyDescent="0.2">
      <c r="B26" s="259"/>
      <c r="C26" s="88"/>
      <c r="D26" s="260"/>
      <c r="E26" s="243"/>
      <c r="F26" s="261" t="s">
        <v>85</v>
      </c>
      <c r="G26" s="243"/>
      <c r="H26" s="262"/>
      <c r="I26" s="243"/>
      <c r="J26" s="262"/>
      <c r="K26" s="88"/>
      <c r="L26" s="143">
        <f t="shared" si="0"/>
        <v>0</v>
      </c>
      <c r="N26" s="81"/>
      <c r="R26" s="79" t="str">
        <f t="shared" si="1"/>
        <v>NOT</v>
      </c>
      <c r="S26" s="79" t="str">
        <f t="shared" si="2"/>
        <v>NOT</v>
      </c>
      <c r="T26" s="79" t="str">
        <f t="shared" si="3"/>
        <v>NOT</v>
      </c>
      <c r="V26" s="79" t="str">
        <f t="shared" si="4"/>
        <v/>
      </c>
    </row>
    <row r="27" spans="1:22" x14ac:dyDescent="0.2">
      <c r="B27" s="259"/>
      <c r="C27" s="88"/>
      <c r="D27" s="260"/>
      <c r="E27" s="243"/>
      <c r="F27" s="261" t="s">
        <v>85</v>
      </c>
      <c r="G27" s="243"/>
      <c r="H27" s="262"/>
      <c r="I27" s="243"/>
      <c r="J27" s="262"/>
      <c r="K27" s="88"/>
      <c r="L27" s="143">
        <f t="shared" si="0"/>
        <v>0</v>
      </c>
      <c r="N27" s="81"/>
      <c r="R27" s="79" t="str">
        <f t="shared" si="1"/>
        <v>NOT</v>
      </c>
      <c r="S27" s="79" t="str">
        <f t="shared" si="2"/>
        <v>NOT</v>
      </c>
      <c r="T27" s="79" t="str">
        <f t="shared" si="3"/>
        <v>NOT</v>
      </c>
      <c r="V27" s="79" t="str">
        <f t="shared" si="4"/>
        <v/>
      </c>
    </row>
    <row r="28" spans="1:22" x14ac:dyDescent="0.2">
      <c r="B28" s="259"/>
      <c r="C28" s="88"/>
      <c r="D28" s="260"/>
      <c r="E28" s="243"/>
      <c r="F28" s="261" t="s">
        <v>85</v>
      </c>
      <c r="G28" s="243"/>
      <c r="H28" s="262"/>
      <c r="I28" s="243"/>
      <c r="J28" s="262"/>
      <c r="K28" s="88"/>
      <c r="L28" s="143">
        <f t="shared" si="0"/>
        <v>0</v>
      </c>
      <c r="N28" s="81"/>
      <c r="R28" s="79" t="str">
        <f t="shared" si="1"/>
        <v>NOT</v>
      </c>
      <c r="S28" s="79" t="str">
        <f t="shared" si="2"/>
        <v>NOT</v>
      </c>
      <c r="T28" s="79" t="str">
        <f t="shared" si="3"/>
        <v>NOT</v>
      </c>
      <c r="V28" s="79" t="str">
        <f t="shared" si="4"/>
        <v/>
      </c>
    </row>
    <row r="29" spans="1:22" x14ac:dyDescent="0.2">
      <c r="B29" s="259"/>
      <c r="C29" s="88"/>
      <c r="D29" s="260"/>
      <c r="E29" s="243"/>
      <c r="F29" s="261" t="s">
        <v>85</v>
      </c>
      <c r="G29" s="243"/>
      <c r="H29" s="262"/>
      <c r="I29" s="243"/>
      <c r="J29" s="262"/>
      <c r="K29" s="88"/>
      <c r="L29" s="143">
        <f t="shared" si="0"/>
        <v>0</v>
      </c>
      <c r="N29" s="81"/>
      <c r="R29" s="79" t="str">
        <f t="shared" si="1"/>
        <v>NOT</v>
      </c>
      <c r="S29" s="79" t="str">
        <f t="shared" si="2"/>
        <v>NOT</v>
      </c>
      <c r="T29" s="79" t="str">
        <f t="shared" si="3"/>
        <v>NOT</v>
      </c>
      <c r="V29" s="79" t="str">
        <f t="shared" si="4"/>
        <v/>
      </c>
    </row>
    <row r="30" spans="1:22" x14ac:dyDescent="0.2">
      <c r="B30" s="259"/>
      <c r="C30" s="88"/>
      <c r="D30" s="260"/>
      <c r="E30" s="243"/>
      <c r="F30" s="261" t="s">
        <v>85</v>
      </c>
      <c r="G30" s="243"/>
      <c r="H30" s="262"/>
      <c r="I30" s="243"/>
      <c r="J30" s="262"/>
      <c r="K30" s="88"/>
      <c r="L30" s="143">
        <f t="shared" si="0"/>
        <v>0</v>
      </c>
      <c r="N30" s="81"/>
      <c r="R30" s="79" t="str">
        <f t="shared" si="1"/>
        <v>NOT</v>
      </c>
      <c r="S30" s="79" t="str">
        <f t="shared" si="2"/>
        <v>NOT</v>
      </c>
      <c r="T30" s="79" t="str">
        <f t="shared" si="3"/>
        <v>NOT</v>
      </c>
      <c r="V30" s="79" t="str">
        <f t="shared" si="4"/>
        <v/>
      </c>
    </row>
    <row r="31" spans="1:22" x14ac:dyDescent="0.2">
      <c r="B31" s="259"/>
      <c r="C31" s="88"/>
      <c r="D31" s="260"/>
      <c r="E31" s="243"/>
      <c r="F31" s="261" t="s">
        <v>85</v>
      </c>
      <c r="G31" s="243"/>
      <c r="H31" s="262"/>
      <c r="I31" s="243"/>
      <c r="J31" s="262"/>
      <c r="K31" s="88"/>
      <c r="L31" s="143">
        <f t="shared" si="0"/>
        <v>0</v>
      </c>
      <c r="N31" s="81"/>
      <c r="R31" s="79" t="str">
        <f t="shared" si="1"/>
        <v>NOT</v>
      </c>
      <c r="S31" s="79" t="str">
        <f t="shared" si="2"/>
        <v>NOT</v>
      </c>
      <c r="T31" s="79" t="str">
        <f t="shared" si="3"/>
        <v>NOT</v>
      </c>
      <c r="V31" s="79" t="str">
        <f t="shared" si="4"/>
        <v/>
      </c>
    </row>
    <row r="32" spans="1:22" x14ac:dyDescent="0.2">
      <c r="B32" s="259"/>
      <c r="C32" s="88"/>
      <c r="D32" s="260"/>
      <c r="E32" s="243"/>
      <c r="F32" s="261" t="s">
        <v>85</v>
      </c>
      <c r="G32" s="243"/>
      <c r="H32" s="262"/>
      <c r="I32" s="243"/>
      <c r="J32" s="262"/>
      <c r="K32" s="88"/>
      <c r="L32" s="143">
        <f t="shared" si="0"/>
        <v>0</v>
      </c>
      <c r="N32" s="81"/>
      <c r="R32" s="79" t="str">
        <f t="shared" si="1"/>
        <v>NOT</v>
      </c>
      <c r="S32" s="79" t="str">
        <f t="shared" si="2"/>
        <v>NOT</v>
      </c>
      <c r="T32" s="79" t="str">
        <f t="shared" si="3"/>
        <v>NOT</v>
      </c>
      <c r="V32" s="79" t="str">
        <f t="shared" si="4"/>
        <v/>
      </c>
    </row>
    <row r="33" spans="1:22" x14ac:dyDescent="0.2">
      <c r="B33" s="259"/>
      <c r="C33" s="88"/>
      <c r="D33" s="260"/>
      <c r="E33" s="243"/>
      <c r="F33" s="261" t="s">
        <v>85</v>
      </c>
      <c r="G33" s="243"/>
      <c r="H33" s="262"/>
      <c r="I33" s="243"/>
      <c r="J33" s="262"/>
      <c r="K33" s="88"/>
      <c r="L33" s="143">
        <f t="shared" si="0"/>
        <v>0</v>
      </c>
      <c r="N33" s="81"/>
      <c r="R33" s="79" t="str">
        <f t="shared" si="1"/>
        <v>NOT</v>
      </c>
      <c r="S33" s="79" t="str">
        <f t="shared" si="2"/>
        <v>NOT</v>
      </c>
      <c r="T33" s="79" t="str">
        <f t="shared" si="3"/>
        <v>NOT</v>
      </c>
      <c r="V33" s="79" t="str">
        <f t="shared" si="4"/>
        <v/>
      </c>
    </row>
    <row r="34" spans="1:22" x14ac:dyDescent="0.2">
      <c r="B34" s="259"/>
      <c r="C34" s="88"/>
      <c r="D34" s="260"/>
      <c r="E34" s="243"/>
      <c r="F34" s="261" t="s">
        <v>85</v>
      </c>
      <c r="G34" s="243"/>
      <c r="H34" s="262"/>
      <c r="I34" s="243"/>
      <c r="J34" s="262"/>
      <c r="K34" s="88"/>
      <c r="L34" s="143">
        <f t="shared" si="0"/>
        <v>0</v>
      </c>
      <c r="N34" s="81"/>
      <c r="R34" s="79" t="str">
        <f t="shared" si="1"/>
        <v>NOT</v>
      </c>
      <c r="S34" s="79" t="str">
        <f t="shared" si="2"/>
        <v>NOT</v>
      </c>
      <c r="T34" s="79" t="str">
        <f t="shared" si="3"/>
        <v>NOT</v>
      </c>
      <c r="V34" s="79" t="str">
        <f t="shared" si="4"/>
        <v/>
      </c>
    </row>
    <row r="35" spans="1:22" x14ac:dyDescent="0.2">
      <c r="B35" s="259"/>
      <c r="C35" s="88"/>
      <c r="D35" s="260"/>
      <c r="E35" s="243"/>
      <c r="F35" s="261" t="s">
        <v>85</v>
      </c>
      <c r="G35" s="243"/>
      <c r="H35" s="262"/>
      <c r="I35" s="243"/>
      <c r="J35" s="262"/>
      <c r="K35" s="88"/>
      <c r="L35" s="143">
        <f t="shared" si="0"/>
        <v>0</v>
      </c>
      <c r="N35" s="81"/>
      <c r="R35" s="79" t="str">
        <f t="shared" si="1"/>
        <v>NOT</v>
      </c>
      <c r="S35" s="79" t="str">
        <f t="shared" si="2"/>
        <v>NOT</v>
      </c>
      <c r="T35" s="79" t="str">
        <f t="shared" si="3"/>
        <v>NOT</v>
      </c>
      <c r="V35" s="79" t="str">
        <f t="shared" si="4"/>
        <v/>
      </c>
    </row>
    <row r="36" spans="1:22" x14ac:dyDescent="0.2">
      <c r="B36" s="259"/>
      <c r="C36" s="88"/>
      <c r="D36" s="260"/>
      <c r="E36" s="243"/>
      <c r="F36" s="261" t="s">
        <v>85</v>
      </c>
      <c r="G36" s="243"/>
      <c r="H36" s="262"/>
      <c r="I36" s="243"/>
      <c r="J36" s="262"/>
      <c r="K36" s="88"/>
      <c r="L36" s="143">
        <f t="shared" si="0"/>
        <v>0</v>
      </c>
      <c r="N36" s="81"/>
      <c r="R36" s="79" t="str">
        <f t="shared" si="1"/>
        <v>NOT</v>
      </c>
      <c r="S36" s="79" t="str">
        <f t="shared" si="2"/>
        <v>NOT</v>
      </c>
      <c r="T36" s="79" t="str">
        <f t="shared" si="3"/>
        <v>NOT</v>
      </c>
      <c r="V36" s="79" t="str">
        <f t="shared" si="4"/>
        <v/>
      </c>
    </row>
    <row r="37" spans="1:22" x14ac:dyDescent="0.2">
      <c r="B37" s="259"/>
      <c r="C37" s="88"/>
      <c r="D37" s="260"/>
      <c r="E37" s="243"/>
      <c r="F37" s="261" t="s">
        <v>85</v>
      </c>
      <c r="G37" s="243"/>
      <c r="H37" s="262"/>
      <c r="I37" s="243"/>
      <c r="J37" s="262"/>
      <c r="K37" s="88"/>
      <c r="L37" s="143">
        <f t="shared" si="0"/>
        <v>0</v>
      </c>
      <c r="N37" s="81"/>
      <c r="R37" s="79" t="str">
        <f t="shared" si="1"/>
        <v>NOT</v>
      </c>
      <c r="S37" s="79" t="str">
        <f t="shared" si="2"/>
        <v>NOT</v>
      </c>
      <c r="T37" s="79" t="str">
        <f t="shared" si="3"/>
        <v>NOT</v>
      </c>
      <c r="V37" s="79" t="str">
        <f t="shared" si="4"/>
        <v/>
      </c>
    </row>
    <row r="38" spans="1:22" x14ac:dyDescent="0.2">
      <c r="B38" s="104"/>
      <c r="C38" s="88"/>
      <c r="D38" s="81"/>
      <c r="F38" s="81"/>
      <c r="H38" s="81"/>
      <c r="J38" s="81"/>
      <c r="K38" s="88"/>
      <c r="L38" s="81"/>
      <c r="N38" s="227"/>
    </row>
    <row r="39" spans="1:22" x14ac:dyDescent="0.2">
      <c r="B39" s="104"/>
      <c r="C39" s="88"/>
      <c r="D39" s="81"/>
      <c r="F39" s="81"/>
      <c r="H39" s="81"/>
      <c r="J39" s="81"/>
      <c r="K39" s="88"/>
      <c r="L39" s="81"/>
      <c r="N39" s="227"/>
    </row>
    <row r="40" spans="1:22" ht="27" customHeight="1" x14ac:dyDescent="0.2">
      <c r="A40" s="247">
        <v>3</v>
      </c>
      <c r="B40" s="248" t="s">
        <v>284</v>
      </c>
      <c r="C40" s="249"/>
      <c r="D40" s="783" t="s">
        <v>305</v>
      </c>
      <c r="E40" s="765"/>
      <c r="F40" s="765"/>
      <c r="G40" s="765"/>
      <c r="H40" s="766"/>
      <c r="I40" s="250"/>
      <c r="J40" s="251" t="s">
        <v>18</v>
      </c>
      <c r="K40" s="249"/>
      <c r="L40" s="252">
        <f>ROUNDDOWN(L12*0.15,2)</f>
        <v>0</v>
      </c>
      <c r="M40" s="250"/>
      <c r="N40" s="253">
        <f>IF(L40=0,0%,L40/L$8)</f>
        <v>0</v>
      </c>
      <c r="P40" s="270"/>
      <c r="Q40" s="231" t="str">
        <f>IF(N40&gt;P40,D40,"")</f>
        <v/>
      </c>
      <c r="R40" s="79" t="str">
        <f>IF(OR(N40&gt;O40,N40&gt;P40),"Overhead costs shall not exceed 5 per cent of each partner’s total eligible budget and shall not exceed 25 per cent of the total staff costs in each partner’s budget!","")</f>
        <v/>
      </c>
      <c r="S40" s="85"/>
    </row>
    <row r="41" spans="1:22" x14ac:dyDescent="0.2">
      <c r="B41" s="104"/>
      <c r="C41" s="88"/>
      <c r="D41" s="81"/>
      <c r="F41" s="81"/>
      <c r="H41" s="81"/>
      <c r="J41" s="81"/>
      <c r="K41" s="88"/>
      <c r="L41" s="81"/>
      <c r="N41" s="227"/>
    </row>
    <row r="42" spans="1:22" ht="27" customHeight="1" x14ac:dyDescent="0.2">
      <c r="A42" s="247">
        <v>4</v>
      </c>
      <c r="B42" s="248" t="s">
        <v>286</v>
      </c>
      <c r="C42" s="249"/>
      <c r="D42" s="784" t="s">
        <v>563</v>
      </c>
      <c r="E42" s="785"/>
      <c r="F42" s="785"/>
      <c r="G42" s="785"/>
      <c r="H42" s="786"/>
      <c r="I42" s="250"/>
      <c r="J42" s="251" t="s">
        <v>18</v>
      </c>
      <c r="K42" s="249"/>
      <c r="L42" s="252">
        <f>IF(L14&gt;0,0,(L44+L62+L80))</f>
        <v>0</v>
      </c>
      <c r="M42" s="250"/>
      <c r="N42" s="253">
        <f>IF(L42=0,0%,L42/L$8)</f>
        <v>0</v>
      </c>
      <c r="O42" s="495">
        <f>IF(LEN(Q42)&gt;1,1,0)</f>
        <v>0</v>
      </c>
      <c r="P42" s="95"/>
      <c r="Q42" s="79" t="str">
        <f>IF(AND(L14&gt;0,(L44+L62+L80)),D42,"")</f>
        <v/>
      </c>
    </row>
    <row r="43" spans="1:22" s="76" customFormat="1" ht="7.5" customHeight="1" x14ac:dyDescent="0.2">
      <c r="A43" s="87"/>
      <c r="B43" s="88"/>
      <c r="C43" s="88"/>
      <c r="D43" s="70"/>
      <c r="E43" s="70"/>
      <c r="F43" s="70"/>
      <c r="G43" s="70"/>
      <c r="H43" s="70"/>
      <c r="I43" s="70"/>
      <c r="J43" s="70"/>
      <c r="K43" s="88"/>
      <c r="L43" s="70"/>
      <c r="M43" s="70"/>
      <c r="N43" s="70"/>
      <c r="O43" s="89"/>
      <c r="V43" s="79"/>
    </row>
    <row r="44" spans="1:22" ht="13.5" customHeight="1" x14ac:dyDescent="0.2">
      <c r="A44" s="276"/>
      <c r="B44" s="278" t="s">
        <v>287</v>
      </c>
      <c r="C44" s="277"/>
      <c r="D44" s="747" t="s">
        <v>166</v>
      </c>
      <c r="E44" s="748"/>
      <c r="F44" s="748"/>
      <c r="G44" s="748"/>
      <c r="H44" s="748"/>
      <c r="I44" s="279"/>
      <c r="J44" s="280" t="s">
        <v>18</v>
      </c>
      <c r="K44" s="88"/>
      <c r="L44" s="156">
        <f>SUM(L51:L60)</f>
        <v>0</v>
      </c>
      <c r="M44" s="246"/>
      <c r="N44" s="147">
        <f>IF(L44=0,0%,L44/L$8)</f>
        <v>0</v>
      </c>
      <c r="O44" s="495">
        <f>IF(LEN(R44)&gt;3,1,0)</f>
        <v>0</v>
      </c>
      <c r="R44" s="79" t="str">
        <f>IF(AND(R50="NOT",S50="NOT",T50="NOT"),"NOT",D44)</f>
        <v>NOT</v>
      </c>
    </row>
    <row r="45" spans="1:22" s="76" customFormat="1" ht="3" customHeight="1" x14ac:dyDescent="0.2">
      <c r="A45" s="87"/>
      <c r="B45" s="88"/>
      <c r="C45" s="88"/>
      <c r="D45" s="70"/>
      <c r="E45" s="70"/>
      <c r="F45" s="70"/>
      <c r="G45" s="70"/>
      <c r="H45" s="70"/>
      <c r="I45" s="70"/>
      <c r="J45" s="70"/>
      <c r="K45" s="88"/>
      <c r="L45" s="70"/>
      <c r="M45" s="70"/>
      <c r="N45" s="70"/>
      <c r="O45" s="89"/>
      <c r="V45" s="79"/>
    </row>
    <row r="46" spans="1:22" x14ac:dyDescent="0.2">
      <c r="B46" s="742" t="s">
        <v>197</v>
      </c>
      <c r="C46" s="743"/>
      <c r="D46" s="743"/>
      <c r="E46" s="743"/>
      <c r="F46" s="743"/>
      <c r="H46" s="81"/>
      <c r="J46" s="81"/>
      <c r="K46" s="88"/>
      <c r="L46" s="81"/>
      <c r="N46" s="227"/>
      <c r="R46" s="79" t="str">
        <f>IF(AND(($L44&gt;0),ISBLANK(B48)),B46,"NOT")</f>
        <v>NOT</v>
      </c>
    </row>
    <row r="47" spans="1:22" ht="3" customHeight="1" x14ac:dyDescent="0.2">
      <c r="B47" s="104"/>
      <c r="C47" s="88"/>
      <c r="D47" s="81"/>
      <c r="F47" s="81"/>
      <c r="H47" s="81"/>
      <c r="J47" s="81"/>
      <c r="K47" s="88"/>
      <c r="L47" s="81"/>
      <c r="N47" s="227"/>
    </row>
    <row r="48" spans="1:22" ht="50.25" customHeight="1" x14ac:dyDescent="0.2">
      <c r="B48" s="744"/>
      <c r="C48" s="745"/>
      <c r="D48" s="745"/>
      <c r="E48" s="745"/>
      <c r="F48" s="745"/>
      <c r="G48" s="745"/>
      <c r="H48" s="745"/>
      <c r="I48" s="745"/>
      <c r="J48" s="745"/>
      <c r="K48" s="745"/>
      <c r="L48" s="746"/>
      <c r="M48" s="70" t="s">
        <v>19</v>
      </c>
      <c r="N48" s="227"/>
    </row>
    <row r="49" spans="1:22" ht="3.75" customHeight="1" x14ac:dyDescent="0.2">
      <c r="B49" s="104"/>
      <c r="C49" s="88"/>
      <c r="D49" s="81"/>
      <c r="F49" s="81"/>
      <c r="H49" s="81"/>
      <c r="J49" s="81"/>
      <c r="K49" s="88"/>
      <c r="L49" s="81"/>
      <c r="N49" s="227"/>
    </row>
    <row r="50" spans="1:22" ht="12.75" customHeight="1" x14ac:dyDescent="0.2">
      <c r="B50" s="244" t="s">
        <v>17</v>
      </c>
      <c r="C50" s="88"/>
      <c r="D50" s="244" t="s">
        <v>580</v>
      </c>
      <c r="F50" s="244" t="s">
        <v>205</v>
      </c>
      <c r="H50" s="244" t="s">
        <v>16</v>
      </c>
      <c r="J50" s="244" t="s">
        <v>15</v>
      </c>
      <c r="K50" s="245"/>
      <c r="L50" s="103" t="s">
        <v>141</v>
      </c>
      <c r="N50" s="81"/>
      <c r="R50" s="255" t="str">
        <f>IF(AND(R51="NOT",R52="NOT",R53="NOT",R54="NOT",R55="NOT",R56="NOT",R57="NOT",R58="NOT",R59="NOT",R60="NOT",R46="NOT"),"NOT",D44)</f>
        <v>NOT</v>
      </c>
      <c r="S50" s="255" t="str">
        <f>IF(AND(S51="NOT",S52="NOT",S53="NOT",S54="NOT",S55="NOT",S56="NOT",S57="NOT",S58="NOT",S59="NOT",S60="NOT",R46="NOT"),"NOT",D44)</f>
        <v>NOT</v>
      </c>
      <c r="T50" s="255" t="str">
        <f>IF(AND(T51="NOT",T52="NOT",T53="NOT",T54="NOT",T55="NOT",T56="NOT",T57="NOT",T58="NOT",T59="NOT",T60="NOT",R46="NOT"),"NOT",D44)</f>
        <v>NOT</v>
      </c>
    </row>
    <row r="51" spans="1:22" x14ac:dyDescent="0.2">
      <c r="B51" s="259"/>
      <c r="C51" s="88"/>
      <c r="D51" s="260"/>
      <c r="E51" s="243"/>
      <c r="F51" s="261"/>
      <c r="G51" s="243"/>
      <c r="H51" s="262"/>
      <c r="I51" s="243"/>
      <c r="J51" s="262"/>
      <c r="K51" s="88"/>
      <c r="L51" s="143">
        <f t="shared" ref="L51:L60" si="5">TRUNC(H51*J51,2)</f>
        <v>0</v>
      </c>
      <c r="N51" s="81"/>
      <c r="R51" s="79" t="str">
        <f t="shared" ref="R51:R60" si="6">IF(AND(($L51&gt;0),ISBLANK(B51)),B51,"NOT")</f>
        <v>NOT</v>
      </c>
      <c r="S51" s="79" t="str">
        <f t="shared" ref="S51:S60" si="7">IF(AND(($L51&gt;0),ISBLANK(D51)),D51,"NOT")</f>
        <v>NOT</v>
      </c>
      <c r="T51" s="79" t="str">
        <f t="shared" ref="T51:T60" si="8">IF(AND(($L51&gt;0),ISBLANK(F51)),F51,"NOT")</f>
        <v>NOT</v>
      </c>
      <c r="V51" s="79" t="str">
        <f t="shared" si="4"/>
        <v/>
      </c>
    </row>
    <row r="52" spans="1:22" x14ac:dyDescent="0.2">
      <c r="B52" s="259"/>
      <c r="C52" s="88"/>
      <c r="D52" s="260"/>
      <c r="E52" s="243"/>
      <c r="F52" s="261"/>
      <c r="G52" s="243"/>
      <c r="H52" s="262"/>
      <c r="I52" s="243"/>
      <c r="J52" s="262"/>
      <c r="K52" s="88"/>
      <c r="L52" s="143">
        <f t="shared" si="5"/>
        <v>0</v>
      </c>
      <c r="N52" s="81"/>
      <c r="R52" s="79" t="str">
        <f t="shared" si="6"/>
        <v>NOT</v>
      </c>
      <c r="S52" s="79" t="str">
        <f t="shared" si="7"/>
        <v>NOT</v>
      </c>
      <c r="T52" s="79" t="str">
        <f t="shared" si="8"/>
        <v>NOT</v>
      </c>
      <c r="V52" s="79" t="str">
        <f t="shared" si="4"/>
        <v/>
      </c>
    </row>
    <row r="53" spans="1:22" x14ac:dyDescent="0.2">
      <c r="B53" s="259"/>
      <c r="C53" s="88"/>
      <c r="D53" s="260"/>
      <c r="E53" s="243"/>
      <c r="F53" s="261"/>
      <c r="G53" s="243"/>
      <c r="H53" s="262"/>
      <c r="I53" s="243"/>
      <c r="J53" s="262"/>
      <c r="K53" s="88"/>
      <c r="L53" s="143">
        <f t="shared" si="5"/>
        <v>0</v>
      </c>
      <c r="N53" s="81"/>
      <c r="R53" s="79" t="str">
        <f t="shared" si="6"/>
        <v>NOT</v>
      </c>
      <c r="S53" s="79" t="str">
        <f t="shared" si="7"/>
        <v>NOT</v>
      </c>
      <c r="T53" s="79" t="str">
        <f t="shared" si="8"/>
        <v>NOT</v>
      </c>
      <c r="V53" s="79" t="str">
        <f t="shared" si="4"/>
        <v/>
      </c>
    </row>
    <row r="54" spans="1:22" x14ac:dyDescent="0.2">
      <c r="B54" s="259"/>
      <c r="C54" s="88"/>
      <c r="D54" s="260"/>
      <c r="E54" s="243"/>
      <c r="F54" s="261"/>
      <c r="G54" s="243"/>
      <c r="H54" s="262"/>
      <c r="I54" s="243"/>
      <c r="J54" s="262"/>
      <c r="K54" s="88"/>
      <c r="L54" s="143">
        <f t="shared" si="5"/>
        <v>0</v>
      </c>
      <c r="N54" s="81"/>
      <c r="R54" s="79" t="str">
        <f t="shared" si="6"/>
        <v>NOT</v>
      </c>
      <c r="S54" s="79" t="str">
        <f t="shared" si="7"/>
        <v>NOT</v>
      </c>
      <c r="T54" s="79" t="str">
        <f t="shared" si="8"/>
        <v>NOT</v>
      </c>
      <c r="V54" s="79" t="str">
        <f t="shared" si="4"/>
        <v/>
      </c>
    </row>
    <row r="55" spans="1:22" x14ac:dyDescent="0.2">
      <c r="B55" s="259"/>
      <c r="C55" s="88"/>
      <c r="D55" s="260"/>
      <c r="E55" s="243"/>
      <c r="F55" s="261"/>
      <c r="G55" s="243"/>
      <c r="H55" s="262"/>
      <c r="I55" s="243"/>
      <c r="J55" s="262"/>
      <c r="K55" s="88"/>
      <c r="L55" s="143">
        <f t="shared" si="5"/>
        <v>0</v>
      </c>
      <c r="N55" s="81"/>
      <c r="R55" s="79" t="str">
        <f t="shared" si="6"/>
        <v>NOT</v>
      </c>
      <c r="S55" s="79" t="str">
        <f t="shared" si="7"/>
        <v>NOT</v>
      </c>
      <c r="T55" s="79" t="str">
        <f t="shared" si="8"/>
        <v>NOT</v>
      </c>
      <c r="V55" s="79" t="str">
        <f t="shared" si="4"/>
        <v/>
      </c>
    </row>
    <row r="56" spans="1:22" x14ac:dyDescent="0.2">
      <c r="B56" s="259"/>
      <c r="C56" s="88"/>
      <c r="D56" s="260"/>
      <c r="E56" s="243"/>
      <c r="F56" s="261"/>
      <c r="G56" s="243"/>
      <c r="H56" s="262"/>
      <c r="I56" s="243"/>
      <c r="J56" s="262"/>
      <c r="K56" s="88"/>
      <c r="L56" s="143">
        <f t="shared" si="5"/>
        <v>0</v>
      </c>
      <c r="N56" s="81"/>
      <c r="R56" s="79" t="str">
        <f t="shared" si="6"/>
        <v>NOT</v>
      </c>
      <c r="S56" s="79" t="str">
        <f t="shared" si="7"/>
        <v>NOT</v>
      </c>
      <c r="T56" s="79" t="str">
        <f t="shared" si="8"/>
        <v>NOT</v>
      </c>
      <c r="V56" s="79" t="str">
        <f t="shared" si="4"/>
        <v/>
      </c>
    </row>
    <row r="57" spans="1:22" x14ac:dyDescent="0.2">
      <c r="B57" s="259"/>
      <c r="C57" s="88"/>
      <c r="D57" s="260"/>
      <c r="E57" s="243"/>
      <c r="F57" s="261"/>
      <c r="G57" s="243"/>
      <c r="H57" s="262"/>
      <c r="I57" s="243"/>
      <c r="J57" s="262"/>
      <c r="K57" s="88"/>
      <c r="L57" s="143">
        <f t="shared" si="5"/>
        <v>0</v>
      </c>
      <c r="N57" s="81"/>
      <c r="R57" s="79" t="str">
        <f t="shared" si="6"/>
        <v>NOT</v>
      </c>
      <c r="S57" s="79" t="str">
        <f t="shared" si="7"/>
        <v>NOT</v>
      </c>
      <c r="T57" s="79" t="str">
        <f t="shared" si="8"/>
        <v>NOT</v>
      </c>
      <c r="V57" s="79" t="str">
        <f t="shared" si="4"/>
        <v/>
      </c>
    </row>
    <row r="58" spans="1:22" x14ac:dyDescent="0.2">
      <c r="B58" s="259"/>
      <c r="C58" s="88"/>
      <c r="D58" s="260"/>
      <c r="E58" s="243"/>
      <c r="F58" s="261"/>
      <c r="G58" s="243"/>
      <c r="H58" s="262"/>
      <c r="I58" s="243"/>
      <c r="J58" s="262"/>
      <c r="K58" s="88"/>
      <c r="L58" s="143">
        <f t="shared" si="5"/>
        <v>0</v>
      </c>
      <c r="N58" s="81"/>
      <c r="R58" s="79" t="str">
        <f t="shared" si="6"/>
        <v>NOT</v>
      </c>
      <c r="S58" s="79" t="str">
        <f t="shared" si="7"/>
        <v>NOT</v>
      </c>
      <c r="T58" s="79" t="str">
        <f t="shared" si="8"/>
        <v>NOT</v>
      </c>
      <c r="V58" s="79" t="str">
        <f t="shared" si="4"/>
        <v/>
      </c>
    </row>
    <row r="59" spans="1:22" x14ac:dyDescent="0.2">
      <c r="B59" s="259"/>
      <c r="C59" s="88"/>
      <c r="D59" s="260"/>
      <c r="E59" s="243"/>
      <c r="F59" s="261"/>
      <c r="G59" s="243"/>
      <c r="H59" s="262"/>
      <c r="I59" s="243"/>
      <c r="J59" s="262"/>
      <c r="K59" s="88"/>
      <c r="L59" s="143">
        <f t="shared" si="5"/>
        <v>0</v>
      </c>
      <c r="N59" s="81"/>
      <c r="R59" s="79" t="str">
        <f t="shared" si="6"/>
        <v>NOT</v>
      </c>
      <c r="S59" s="79" t="str">
        <f t="shared" si="7"/>
        <v>NOT</v>
      </c>
      <c r="T59" s="79" t="str">
        <f t="shared" si="8"/>
        <v>NOT</v>
      </c>
      <c r="V59" s="79" t="str">
        <f t="shared" si="4"/>
        <v/>
      </c>
    </row>
    <row r="60" spans="1:22" x14ac:dyDescent="0.2">
      <c r="B60" s="259"/>
      <c r="C60" s="88"/>
      <c r="D60" s="260"/>
      <c r="E60" s="243"/>
      <c r="F60" s="261"/>
      <c r="G60" s="243"/>
      <c r="H60" s="262"/>
      <c r="I60" s="243"/>
      <c r="J60" s="262"/>
      <c r="K60" s="88"/>
      <c r="L60" s="143">
        <f t="shared" si="5"/>
        <v>0</v>
      </c>
      <c r="N60" s="81"/>
      <c r="R60" s="79" t="str">
        <f t="shared" si="6"/>
        <v>NOT</v>
      </c>
      <c r="S60" s="79" t="str">
        <f t="shared" si="7"/>
        <v>NOT</v>
      </c>
      <c r="T60" s="79" t="str">
        <f t="shared" si="8"/>
        <v>NOT</v>
      </c>
      <c r="V60" s="79" t="str">
        <f t="shared" si="4"/>
        <v/>
      </c>
    </row>
    <row r="61" spans="1:22" x14ac:dyDescent="0.2">
      <c r="B61" s="104"/>
      <c r="C61" s="88"/>
      <c r="D61" s="81"/>
      <c r="F61" s="81"/>
      <c r="H61" s="81"/>
      <c r="J61" s="81"/>
      <c r="K61" s="88"/>
      <c r="L61" s="81"/>
      <c r="N61" s="227"/>
    </row>
    <row r="62" spans="1:22" ht="13.5" customHeight="1" x14ac:dyDescent="0.2">
      <c r="A62" s="276"/>
      <c r="B62" s="278" t="s">
        <v>288</v>
      </c>
      <c r="C62" s="277"/>
      <c r="D62" s="747" t="s">
        <v>166</v>
      </c>
      <c r="E62" s="748"/>
      <c r="F62" s="748"/>
      <c r="G62" s="748"/>
      <c r="H62" s="748"/>
      <c r="I62" s="279"/>
      <c r="J62" s="280" t="s">
        <v>18</v>
      </c>
      <c r="K62" s="88"/>
      <c r="L62" s="156">
        <f>SUM(L69:L78)</f>
        <v>0</v>
      </c>
      <c r="M62" s="246"/>
      <c r="N62" s="147">
        <f>IF(L62=0,0%,L62/L$8)</f>
        <v>0</v>
      </c>
      <c r="O62" s="495">
        <f>IF(LEN(R62)&gt;3,1,0)</f>
        <v>0</v>
      </c>
      <c r="R62" s="79" t="str">
        <f>IF(AND(R68="NOT",S68="NOT",T68="NOT"),"NOT",D62)</f>
        <v>NOT</v>
      </c>
    </row>
    <row r="63" spans="1:22" s="76" customFormat="1" ht="3" customHeight="1" x14ac:dyDescent="0.2">
      <c r="A63" s="87"/>
      <c r="B63" s="88"/>
      <c r="C63" s="88"/>
      <c r="D63" s="70"/>
      <c r="E63" s="70"/>
      <c r="F63" s="70"/>
      <c r="G63" s="70"/>
      <c r="H63" s="70"/>
      <c r="I63" s="70"/>
      <c r="J63" s="70"/>
      <c r="K63" s="88"/>
      <c r="L63" s="70"/>
      <c r="M63" s="70"/>
      <c r="N63" s="70"/>
      <c r="O63" s="89"/>
      <c r="V63" s="79"/>
    </row>
    <row r="64" spans="1:22" x14ac:dyDescent="0.2">
      <c r="B64" s="742" t="s">
        <v>197</v>
      </c>
      <c r="C64" s="743"/>
      <c r="D64" s="743"/>
      <c r="E64" s="743"/>
      <c r="F64" s="743"/>
      <c r="H64" s="81"/>
      <c r="J64" s="81"/>
      <c r="K64" s="88"/>
      <c r="L64" s="81"/>
      <c r="N64" s="227"/>
      <c r="R64" s="79" t="str">
        <f>IF(AND(($L62&gt;0),ISBLANK(B66)),B64,"NOT")</f>
        <v>NOT</v>
      </c>
    </row>
    <row r="65" spans="1:22" ht="3" customHeight="1" x14ac:dyDescent="0.2">
      <c r="B65" s="104"/>
      <c r="C65" s="88"/>
      <c r="D65" s="81"/>
      <c r="F65" s="81"/>
      <c r="H65" s="81"/>
      <c r="J65" s="81"/>
      <c r="K65" s="88"/>
      <c r="L65" s="81"/>
      <c r="N65" s="227"/>
    </row>
    <row r="66" spans="1:22" ht="50.25" customHeight="1" x14ac:dyDescent="0.2">
      <c r="B66" s="744"/>
      <c r="C66" s="745"/>
      <c r="D66" s="745"/>
      <c r="E66" s="745"/>
      <c r="F66" s="745"/>
      <c r="G66" s="745"/>
      <c r="H66" s="745"/>
      <c r="I66" s="745"/>
      <c r="J66" s="745"/>
      <c r="K66" s="745"/>
      <c r="L66" s="746"/>
      <c r="M66" s="70" t="s">
        <v>19</v>
      </c>
      <c r="N66" s="227"/>
    </row>
    <row r="67" spans="1:22" ht="3.75" customHeight="1" x14ac:dyDescent="0.2">
      <c r="B67" s="104"/>
      <c r="C67" s="88"/>
      <c r="D67" s="81"/>
      <c r="F67" s="81"/>
      <c r="H67" s="81"/>
      <c r="J67" s="81"/>
      <c r="K67" s="88"/>
      <c r="L67" s="81"/>
      <c r="N67" s="227"/>
    </row>
    <row r="68" spans="1:22" ht="12.75" customHeight="1" x14ac:dyDescent="0.2">
      <c r="B68" s="244" t="s">
        <v>17</v>
      </c>
      <c r="C68" s="88"/>
      <c r="D68" s="244" t="s">
        <v>580</v>
      </c>
      <c r="F68" s="244" t="s">
        <v>205</v>
      </c>
      <c r="H68" s="244" t="s">
        <v>16</v>
      </c>
      <c r="J68" s="244" t="s">
        <v>15</v>
      </c>
      <c r="K68" s="245"/>
      <c r="L68" s="103" t="s">
        <v>141</v>
      </c>
      <c r="N68" s="81"/>
      <c r="R68" s="255" t="str">
        <f>IF(AND(R69="NOT",R70="NOT",R71="NOT",R72="NOT",R73="NOT",R74="NOT",R75="NOT",R76="NOT",R77="NOT",R78="NOT",R64="NOT"),"NOT",D62)</f>
        <v>NOT</v>
      </c>
      <c r="S68" s="255" t="str">
        <f>IF(AND(S69="NOT",S70="NOT",S71="NOT",S72="NOT",S73="NOT",S74="NOT",S75="NOT",S76="NOT",S77="NOT",S78="NOT",R64="NOT"),"NOT",D62)</f>
        <v>NOT</v>
      </c>
      <c r="T68" s="255" t="str">
        <f>IF(AND(T69="NOT",T70="NOT",T71="NOT",T72="NOT",T73="NOT",T74="NOT",T75="NOT",T76="NOT",T77="NOT",T78="NOT",R64="NOT"),"NOT",D62)</f>
        <v>NOT</v>
      </c>
    </row>
    <row r="69" spans="1:22" x14ac:dyDescent="0.2">
      <c r="B69" s="259"/>
      <c r="C69" s="88"/>
      <c r="D69" s="260"/>
      <c r="E69" s="243"/>
      <c r="F69" s="261"/>
      <c r="G69" s="243"/>
      <c r="H69" s="262"/>
      <c r="I69" s="243"/>
      <c r="J69" s="262"/>
      <c r="K69" s="88"/>
      <c r="L69" s="143">
        <f t="shared" ref="L69:L78" si="9">TRUNC(H69*J69,2)</f>
        <v>0</v>
      </c>
      <c r="N69" s="81"/>
      <c r="R69" s="79" t="str">
        <f t="shared" ref="R69:R78" si="10">IF(AND(($L69&gt;0),ISBLANK(B69)),B69,"NOT")</f>
        <v>NOT</v>
      </c>
      <c r="S69" s="79" t="str">
        <f t="shared" ref="S69:S78" si="11">IF(AND(($L69&gt;0),ISBLANK(D69)),D69,"NOT")</f>
        <v>NOT</v>
      </c>
      <c r="T69" s="79" t="str">
        <f t="shared" ref="T69:T78" si="12">IF(AND(($L69&gt;0),ISBLANK(F69)),F69,"NOT")</f>
        <v>NOT</v>
      </c>
      <c r="V69" s="79" t="str">
        <f t="shared" si="4"/>
        <v/>
      </c>
    </row>
    <row r="70" spans="1:22" x14ac:dyDescent="0.2">
      <c r="B70" s="259"/>
      <c r="C70" s="88"/>
      <c r="D70" s="260"/>
      <c r="E70" s="243"/>
      <c r="F70" s="261"/>
      <c r="G70" s="243"/>
      <c r="H70" s="262"/>
      <c r="I70" s="243"/>
      <c r="J70" s="262"/>
      <c r="K70" s="88"/>
      <c r="L70" s="143">
        <f t="shared" si="9"/>
        <v>0</v>
      </c>
      <c r="N70" s="81"/>
      <c r="R70" s="79" t="str">
        <f t="shared" si="10"/>
        <v>NOT</v>
      </c>
      <c r="S70" s="79" t="str">
        <f t="shared" si="11"/>
        <v>NOT</v>
      </c>
      <c r="T70" s="79" t="str">
        <f t="shared" si="12"/>
        <v>NOT</v>
      </c>
      <c r="V70" s="79" t="str">
        <f t="shared" si="4"/>
        <v/>
      </c>
    </row>
    <row r="71" spans="1:22" x14ac:dyDescent="0.2">
      <c r="B71" s="259"/>
      <c r="C71" s="88"/>
      <c r="D71" s="260"/>
      <c r="E71" s="243"/>
      <c r="F71" s="261"/>
      <c r="G71" s="243"/>
      <c r="H71" s="262"/>
      <c r="I71" s="243"/>
      <c r="J71" s="262"/>
      <c r="K71" s="88"/>
      <c r="L71" s="143">
        <f t="shared" si="9"/>
        <v>0</v>
      </c>
      <c r="N71" s="81"/>
      <c r="R71" s="79" t="str">
        <f t="shared" si="10"/>
        <v>NOT</v>
      </c>
      <c r="S71" s="79" t="str">
        <f t="shared" si="11"/>
        <v>NOT</v>
      </c>
      <c r="T71" s="79" t="str">
        <f t="shared" si="12"/>
        <v>NOT</v>
      </c>
      <c r="V71" s="79" t="str">
        <f t="shared" si="4"/>
        <v/>
      </c>
    </row>
    <row r="72" spans="1:22" x14ac:dyDescent="0.2">
      <c r="B72" s="259"/>
      <c r="C72" s="88"/>
      <c r="D72" s="260"/>
      <c r="E72" s="243"/>
      <c r="F72" s="261"/>
      <c r="G72" s="243"/>
      <c r="H72" s="262"/>
      <c r="I72" s="243"/>
      <c r="J72" s="262"/>
      <c r="K72" s="88"/>
      <c r="L72" s="143">
        <f t="shared" si="9"/>
        <v>0</v>
      </c>
      <c r="N72" s="81"/>
      <c r="R72" s="79" t="str">
        <f t="shared" si="10"/>
        <v>NOT</v>
      </c>
      <c r="S72" s="79" t="str">
        <f t="shared" si="11"/>
        <v>NOT</v>
      </c>
      <c r="T72" s="79" t="str">
        <f t="shared" si="12"/>
        <v>NOT</v>
      </c>
      <c r="V72" s="79" t="str">
        <f t="shared" si="4"/>
        <v/>
      </c>
    </row>
    <row r="73" spans="1:22" x14ac:dyDescent="0.2">
      <c r="B73" s="259"/>
      <c r="C73" s="88"/>
      <c r="D73" s="260"/>
      <c r="E73" s="243"/>
      <c r="F73" s="261"/>
      <c r="G73" s="243"/>
      <c r="H73" s="262"/>
      <c r="I73" s="243"/>
      <c r="J73" s="262"/>
      <c r="K73" s="88"/>
      <c r="L73" s="143">
        <f t="shared" si="9"/>
        <v>0</v>
      </c>
      <c r="N73" s="81"/>
      <c r="R73" s="79" t="str">
        <f t="shared" si="10"/>
        <v>NOT</v>
      </c>
      <c r="S73" s="79" t="str">
        <f t="shared" si="11"/>
        <v>NOT</v>
      </c>
      <c r="T73" s="79" t="str">
        <f t="shared" si="12"/>
        <v>NOT</v>
      </c>
      <c r="V73" s="79" t="str">
        <f t="shared" si="4"/>
        <v/>
      </c>
    </row>
    <row r="74" spans="1:22" x14ac:dyDescent="0.2">
      <c r="B74" s="259"/>
      <c r="C74" s="88"/>
      <c r="D74" s="260"/>
      <c r="E74" s="243"/>
      <c r="F74" s="261"/>
      <c r="G74" s="243"/>
      <c r="H74" s="262"/>
      <c r="I74" s="243"/>
      <c r="J74" s="262"/>
      <c r="K74" s="88"/>
      <c r="L74" s="143">
        <f t="shared" si="9"/>
        <v>0</v>
      </c>
      <c r="N74" s="81"/>
      <c r="R74" s="79" t="str">
        <f t="shared" si="10"/>
        <v>NOT</v>
      </c>
      <c r="S74" s="79" t="str">
        <f t="shared" si="11"/>
        <v>NOT</v>
      </c>
      <c r="T74" s="79" t="str">
        <f t="shared" si="12"/>
        <v>NOT</v>
      </c>
      <c r="V74" s="79" t="str">
        <f t="shared" si="4"/>
        <v/>
      </c>
    </row>
    <row r="75" spans="1:22" x14ac:dyDescent="0.2">
      <c r="B75" s="259"/>
      <c r="C75" s="88"/>
      <c r="D75" s="260"/>
      <c r="E75" s="243"/>
      <c r="F75" s="261"/>
      <c r="G75" s="243"/>
      <c r="H75" s="262"/>
      <c r="I75" s="243"/>
      <c r="J75" s="262"/>
      <c r="K75" s="88"/>
      <c r="L75" s="143">
        <f t="shared" si="9"/>
        <v>0</v>
      </c>
      <c r="N75" s="81"/>
      <c r="R75" s="79" t="str">
        <f t="shared" si="10"/>
        <v>NOT</v>
      </c>
      <c r="S75" s="79" t="str">
        <f t="shared" si="11"/>
        <v>NOT</v>
      </c>
      <c r="T75" s="79" t="str">
        <f t="shared" si="12"/>
        <v>NOT</v>
      </c>
      <c r="V75" s="79" t="str">
        <f t="shared" si="4"/>
        <v/>
      </c>
    </row>
    <row r="76" spans="1:22" x14ac:dyDescent="0.2">
      <c r="B76" s="259"/>
      <c r="C76" s="88"/>
      <c r="D76" s="260"/>
      <c r="E76" s="243"/>
      <c r="F76" s="261"/>
      <c r="G76" s="243"/>
      <c r="H76" s="262"/>
      <c r="I76" s="243"/>
      <c r="J76" s="262"/>
      <c r="K76" s="88"/>
      <c r="L76" s="143">
        <f t="shared" si="9"/>
        <v>0</v>
      </c>
      <c r="N76" s="81"/>
      <c r="R76" s="79" t="str">
        <f t="shared" si="10"/>
        <v>NOT</v>
      </c>
      <c r="S76" s="79" t="str">
        <f t="shared" si="11"/>
        <v>NOT</v>
      </c>
      <c r="T76" s="79" t="str">
        <f t="shared" si="12"/>
        <v>NOT</v>
      </c>
      <c r="V76" s="79" t="str">
        <f t="shared" si="4"/>
        <v/>
      </c>
    </row>
    <row r="77" spans="1:22" x14ac:dyDescent="0.2">
      <c r="B77" s="259"/>
      <c r="C77" s="88"/>
      <c r="D77" s="260"/>
      <c r="E77" s="243"/>
      <c r="F77" s="261"/>
      <c r="G77" s="243"/>
      <c r="H77" s="262"/>
      <c r="I77" s="243"/>
      <c r="J77" s="262"/>
      <c r="K77" s="88"/>
      <c r="L77" s="143">
        <f t="shared" si="9"/>
        <v>0</v>
      </c>
      <c r="N77" s="81"/>
      <c r="R77" s="79" t="str">
        <f t="shared" si="10"/>
        <v>NOT</v>
      </c>
      <c r="S77" s="79" t="str">
        <f t="shared" si="11"/>
        <v>NOT</v>
      </c>
      <c r="T77" s="79" t="str">
        <f t="shared" si="12"/>
        <v>NOT</v>
      </c>
      <c r="V77" s="79" t="str">
        <f t="shared" si="4"/>
        <v/>
      </c>
    </row>
    <row r="78" spans="1:22" x14ac:dyDescent="0.2">
      <c r="B78" s="259"/>
      <c r="C78" s="88"/>
      <c r="D78" s="260"/>
      <c r="E78" s="243"/>
      <c r="F78" s="261"/>
      <c r="G78" s="243"/>
      <c r="H78" s="262"/>
      <c r="I78" s="243"/>
      <c r="J78" s="262"/>
      <c r="K78" s="88"/>
      <c r="L78" s="143">
        <f t="shared" si="9"/>
        <v>0</v>
      </c>
      <c r="N78" s="81"/>
      <c r="R78" s="79" t="str">
        <f t="shared" si="10"/>
        <v>NOT</v>
      </c>
      <c r="S78" s="79" t="str">
        <f t="shared" si="11"/>
        <v>NOT</v>
      </c>
      <c r="T78" s="79" t="str">
        <f t="shared" si="12"/>
        <v>NOT</v>
      </c>
      <c r="V78" s="79" t="str">
        <f t="shared" si="4"/>
        <v/>
      </c>
    </row>
    <row r="79" spans="1:22" s="76" customFormat="1" ht="12.75" customHeight="1" x14ac:dyDescent="0.2">
      <c r="A79" s="87"/>
      <c r="B79" s="88"/>
      <c r="C79" s="88"/>
      <c r="D79" s="70"/>
      <c r="E79" s="70"/>
      <c r="F79" s="70"/>
      <c r="G79" s="70"/>
      <c r="H79" s="70"/>
      <c r="I79" s="70"/>
      <c r="J79" s="70"/>
      <c r="K79" s="88"/>
      <c r="L79" s="70"/>
      <c r="M79" s="70"/>
      <c r="N79" s="70"/>
      <c r="O79" s="89"/>
      <c r="V79" s="79"/>
    </row>
    <row r="80" spans="1:22" ht="13.5" customHeight="1" x14ac:dyDescent="0.2">
      <c r="A80" s="276"/>
      <c r="B80" s="278" t="s">
        <v>289</v>
      </c>
      <c r="C80" s="277"/>
      <c r="D80" s="747" t="s">
        <v>166</v>
      </c>
      <c r="E80" s="748"/>
      <c r="F80" s="748"/>
      <c r="G80" s="748"/>
      <c r="H80" s="748"/>
      <c r="I80" s="279"/>
      <c r="J80" s="280" t="s">
        <v>18</v>
      </c>
      <c r="K80" s="88"/>
      <c r="L80" s="156">
        <f>SUM(L87:L96)</f>
        <v>0</v>
      </c>
      <c r="M80" s="246"/>
      <c r="N80" s="147">
        <f>IF(L80=0,0%,L80/L$8)</f>
        <v>0</v>
      </c>
      <c r="O80" s="495">
        <f>IF(LEN(R80)&gt;3,1,0)</f>
        <v>0</v>
      </c>
      <c r="R80" s="79" t="str">
        <f>IF(AND(R86="NOT",S86="NOT",T86="NOT"),"NOT",D80)</f>
        <v>NOT</v>
      </c>
    </row>
    <row r="81" spans="1:22" s="76" customFormat="1" ht="3" customHeight="1" x14ac:dyDescent="0.2">
      <c r="A81" s="87"/>
      <c r="B81" s="88"/>
      <c r="C81" s="88"/>
      <c r="D81" s="70"/>
      <c r="E81" s="70"/>
      <c r="F81" s="70"/>
      <c r="G81" s="70"/>
      <c r="H81" s="70"/>
      <c r="I81" s="70"/>
      <c r="J81" s="70"/>
      <c r="K81" s="88"/>
      <c r="L81" s="70"/>
      <c r="M81" s="70"/>
      <c r="N81" s="70"/>
      <c r="O81" s="89"/>
      <c r="V81" s="79"/>
    </row>
    <row r="82" spans="1:22" x14ac:dyDescent="0.2">
      <c r="B82" s="742" t="s">
        <v>197</v>
      </c>
      <c r="C82" s="743"/>
      <c r="D82" s="743"/>
      <c r="E82" s="743"/>
      <c r="F82" s="743"/>
      <c r="H82" s="81"/>
      <c r="J82" s="81"/>
      <c r="K82" s="88"/>
      <c r="L82" s="81"/>
      <c r="N82" s="227"/>
      <c r="R82" s="79" t="str">
        <f>IF(AND(($L80&gt;0),ISBLANK(B84)),B82,"NOT")</f>
        <v>NOT</v>
      </c>
    </row>
    <row r="83" spans="1:22" ht="3" customHeight="1" x14ac:dyDescent="0.2">
      <c r="B83" s="104"/>
      <c r="C83" s="88"/>
      <c r="D83" s="81"/>
      <c r="F83" s="81"/>
      <c r="H83" s="81"/>
      <c r="J83" s="81"/>
      <c r="K83" s="88"/>
      <c r="L83" s="81"/>
      <c r="N83" s="227"/>
    </row>
    <row r="84" spans="1:22" ht="50.25" customHeight="1" x14ac:dyDescent="0.2">
      <c r="B84" s="744"/>
      <c r="C84" s="745"/>
      <c r="D84" s="745"/>
      <c r="E84" s="745"/>
      <c r="F84" s="745"/>
      <c r="G84" s="745"/>
      <c r="H84" s="745"/>
      <c r="I84" s="745"/>
      <c r="J84" s="745"/>
      <c r="K84" s="745"/>
      <c r="L84" s="746"/>
      <c r="M84" s="70" t="s">
        <v>19</v>
      </c>
      <c r="N84" s="227"/>
    </row>
    <row r="85" spans="1:22" ht="3.75" customHeight="1" x14ac:dyDescent="0.2">
      <c r="B85" s="104"/>
      <c r="C85" s="88"/>
      <c r="D85" s="81"/>
      <c r="F85" s="81"/>
      <c r="H85" s="81"/>
      <c r="J85" s="81"/>
      <c r="K85" s="88"/>
      <c r="L85" s="81"/>
      <c r="N85" s="227"/>
    </row>
    <row r="86" spans="1:22" ht="12.75" customHeight="1" x14ac:dyDescent="0.2">
      <c r="B86" s="244" t="s">
        <v>17</v>
      </c>
      <c r="C86" s="88"/>
      <c r="D86" s="244" t="s">
        <v>580</v>
      </c>
      <c r="F86" s="244" t="s">
        <v>205</v>
      </c>
      <c r="H86" s="244" t="s">
        <v>16</v>
      </c>
      <c r="J86" s="244" t="s">
        <v>15</v>
      </c>
      <c r="K86" s="245"/>
      <c r="L86" s="103" t="s">
        <v>141</v>
      </c>
      <c r="N86" s="81"/>
      <c r="R86" s="255" t="str">
        <f>IF(AND(R87="NOT",R88="NOT",R89="NOT",R90="NOT",R91="NOT",R92="NOT",R93="NOT",R94="NOT",R95="NOT",R96="NOT",R82="NOT"),"NOT",D80)</f>
        <v>NOT</v>
      </c>
      <c r="S86" s="255" t="str">
        <f>IF(AND(S87="NOT",S88="NOT",S89="NOT",S90="NOT",S91="NOT",S92="NOT",S93="NOT",S94="NOT",S95="NOT",S96="NOT",R82="NOT"),"NOT",D80)</f>
        <v>NOT</v>
      </c>
      <c r="T86" s="255" t="str">
        <f>IF(AND(T87="NOT",T88="NOT",T89="NOT",T90="NOT",T91="NOT",T92="NOT",T93="NOT",T94="NOT",T95="NOT",T96="NOT",R82="NOT"),"NOT",D80)</f>
        <v>NOT</v>
      </c>
    </row>
    <row r="87" spans="1:22" x14ac:dyDescent="0.2">
      <c r="B87" s="259"/>
      <c r="C87" s="88"/>
      <c r="D87" s="260"/>
      <c r="E87" s="243"/>
      <c r="F87" s="261"/>
      <c r="G87" s="243"/>
      <c r="H87" s="262"/>
      <c r="I87" s="243"/>
      <c r="J87" s="262"/>
      <c r="K87" s="88"/>
      <c r="L87" s="143">
        <f t="shared" ref="L87:L96" si="13">TRUNC(H87*J87,2)</f>
        <v>0</v>
      </c>
      <c r="N87" s="81"/>
      <c r="R87" s="79" t="str">
        <f t="shared" ref="R87:R96" si="14">IF(AND(($L87&gt;0),ISBLANK(B87)),B87,"NOT")</f>
        <v>NOT</v>
      </c>
      <c r="S87" s="79" t="str">
        <f t="shared" ref="S87:S96" si="15">IF(AND(($L87&gt;0),ISBLANK(D87)),D87,"NOT")</f>
        <v>NOT</v>
      </c>
      <c r="T87" s="79" t="str">
        <f t="shared" ref="T87:T96" si="16">IF(AND(($L87&gt;0),ISBLANK(F87)),F87,"NOT")</f>
        <v>NOT</v>
      </c>
      <c r="V87" s="79" t="str">
        <f t="shared" ref="V87:V96" si="17">LEFT(D87,3)</f>
        <v/>
      </c>
    </row>
    <row r="88" spans="1:22" x14ac:dyDescent="0.2">
      <c r="B88" s="259"/>
      <c r="C88" s="88"/>
      <c r="D88" s="260"/>
      <c r="E88" s="243"/>
      <c r="F88" s="261"/>
      <c r="G88" s="243"/>
      <c r="H88" s="262"/>
      <c r="I88" s="243"/>
      <c r="J88" s="262"/>
      <c r="K88" s="88"/>
      <c r="L88" s="143">
        <f t="shared" si="13"/>
        <v>0</v>
      </c>
      <c r="N88" s="81"/>
      <c r="R88" s="79" t="str">
        <f t="shared" si="14"/>
        <v>NOT</v>
      </c>
      <c r="S88" s="79" t="str">
        <f t="shared" si="15"/>
        <v>NOT</v>
      </c>
      <c r="T88" s="79" t="str">
        <f t="shared" si="16"/>
        <v>NOT</v>
      </c>
      <c r="V88" s="79" t="str">
        <f t="shared" si="17"/>
        <v/>
      </c>
    </row>
    <row r="89" spans="1:22" x14ac:dyDescent="0.2">
      <c r="B89" s="259"/>
      <c r="C89" s="88"/>
      <c r="D89" s="260"/>
      <c r="E89" s="243"/>
      <c r="F89" s="261"/>
      <c r="G89" s="243"/>
      <c r="H89" s="262"/>
      <c r="I89" s="243"/>
      <c r="J89" s="262"/>
      <c r="K89" s="88"/>
      <c r="L89" s="143">
        <f t="shared" si="13"/>
        <v>0</v>
      </c>
      <c r="N89" s="81"/>
      <c r="R89" s="79" t="str">
        <f t="shared" si="14"/>
        <v>NOT</v>
      </c>
      <c r="S89" s="79" t="str">
        <f t="shared" si="15"/>
        <v>NOT</v>
      </c>
      <c r="T89" s="79" t="str">
        <f t="shared" si="16"/>
        <v>NOT</v>
      </c>
      <c r="V89" s="79" t="str">
        <f t="shared" si="17"/>
        <v/>
      </c>
    </row>
    <row r="90" spans="1:22" x14ac:dyDescent="0.2">
      <c r="B90" s="259"/>
      <c r="C90" s="88"/>
      <c r="D90" s="260"/>
      <c r="E90" s="243"/>
      <c r="F90" s="261"/>
      <c r="G90" s="243"/>
      <c r="H90" s="262"/>
      <c r="I90" s="243"/>
      <c r="J90" s="262"/>
      <c r="K90" s="88"/>
      <c r="L90" s="143">
        <f t="shared" si="13"/>
        <v>0</v>
      </c>
      <c r="N90" s="81"/>
      <c r="R90" s="79" t="str">
        <f t="shared" si="14"/>
        <v>NOT</v>
      </c>
      <c r="S90" s="79" t="str">
        <f t="shared" si="15"/>
        <v>NOT</v>
      </c>
      <c r="T90" s="79" t="str">
        <f t="shared" si="16"/>
        <v>NOT</v>
      </c>
      <c r="V90" s="79" t="str">
        <f t="shared" si="17"/>
        <v/>
      </c>
    </row>
    <row r="91" spans="1:22" x14ac:dyDescent="0.2">
      <c r="B91" s="259"/>
      <c r="C91" s="88"/>
      <c r="D91" s="260"/>
      <c r="E91" s="243"/>
      <c r="F91" s="261"/>
      <c r="G91" s="243"/>
      <c r="H91" s="262"/>
      <c r="I91" s="243"/>
      <c r="J91" s="262"/>
      <c r="K91" s="88"/>
      <c r="L91" s="143">
        <f t="shared" si="13"/>
        <v>0</v>
      </c>
      <c r="N91" s="81"/>
      <c r="R91" s="79" t="str">
        <f t="shared" si="14"/>
        <v>NOT</v>
      </c>
      <c r="S91" s="79" t="str">
        <f t="shared" si="15"/>
        <v>NOT</v>
      </c>
      <c r="T91" s="79" t="str">
        <f t="shared" si="16"/>
        <v>NOT</v>
      </c>
      <c r="V91" s="79" t="str">
        <f t="shared" si="17"/>
        <v/>
      </c>
    </row>
    <row r="92" spans="1:22" x14ac:dyDescent="0.2">
      <c r="B92" s="259"/>
      <c r="C92" s="88"/>
      <c r="D92" s="260"/>
      <c r="E92" s="243"/>
      <c r="F92" s="261"/>
      <c r="G92" s="243"/>
      <c r="H92" s="262"/>
      <c r="I92" s="243"/>
      <c r="J92" s="262"/>
      <c r="K92" s="88"/>
      <c r="L92" s="143">
        <f t="shared" si="13"/>
        <v>0</v>
      </c>
      <c r="N92" s="81"/>
      <c r="R92" s="79" t="str">
        <f t="shared" si="14"/>
        <v>NOT</v>
      </c>
      <c r="S92" s="79" t="str">
        <f t="shared" si="15"/>
        <v>NOT</v>
      </c>
      <c r="T92" s="79" t="str">
        <f t="shared" si="16"/>
        <v>NOT</v>
      </c>
      <c r="V92" s="79" t="str">
        <f t="shared" si="17"/>
        <v/>
      </c>
    </row>
    <row r="93" spans="1:22" x14ac:dyDescent="0.2">
      <c r="B93" s="259"/>
      <c r="C93" s="88"/>
      <c r="D93" s="260"/>
      <c r="E93" s="243"/>
      <c r="F93" s="261"/>
      <c r="G93" s="243"/>
      <c r="H93" s="262"/>
      <c r="I93" s="243"/>
      <c r="J93" s="262"/>
      <c r="K93" s="88"/>
      <c r="L93" s="143">
        <f t="shared" si="13"/>
        <v>0</v>
      </c>
      <c r="N93" s="81"/>
      <c r="R93" s="79" t="str">
        <f t="shared" si="14"/>
        <v>NOT</v>
      </c>
      <c r="S93" s="79" t="str">
        <f t="shared" si="15"/>
        <v>NOT</v>
      </c>
      <c r="T93" s="79" t="str">
        <f t="shared" si="16"/>
        <v>NOT</v>
      </c>
      <c r="V93" s="79" t="str">
        <f t="shared" si="17"/>
        <v/>
      </c>
    </row>
    <row r="94" spans="1:22" x14ac:dyDescent="0.2">
      <c r="B94" s="259"/>
      <c r="C94" s="88"/>
      <c r="D94" s="260"/>
      <c r="E94" s="243"/>
      <c r="F94" s="261"/>
      <c r="G94" s="243"/>
      <c r="H94" s="262"/>
      <c r="I94" s="243"/>
      <c r="J94" s="262"/>
      <c r="K94" s="88"/>
      <c r="L94" s="143">
        <f t="shared" si="13"/>
        <v>0</v>
      </c>
      <c r="N94" s="81"/>
      <c r="R94" s="79" t="str">
        <f t="shared" si="14"/>
        <v>NOT</v>
      </c>
      <c r="S94" s="79" t="str">
        <f t="shared" si="15"/>
        <v>NOT</v>
      </c>
      <c r="T94" s="79" t="str">
        <f t="shared" si="16"/>
        <v>NOT</v>
      </c>
      <c r="V94" s="79" t="str">
        <f t="shared" si="17"/>
        <v/>
      </c>
    </row>
    <row r="95" spans="1:22" x14ac:dyDescent="0.2">
      <c r="B95" s="259"/>
      <c r="C95" s="88"/>
      <c r="D95" s="260"/>
      <c r="E95" s="243"/>
      <c r="F95" s="261"/>
      <c r="G95" s="243"/>
      <c r="H95" s="262"/>
      <c r="I95" s="243"/>
      <c r="J95" s="262"/>
      <c r="K95" s="88"/>
      <c r="L95" s="143">
        <f t="shared" si="13"/>
        <v>0</v>
      </c>
      <c r="N95" s="81"/>
      <c r="R95" s="79" t="str">
        <f t="shared" si="14"/>
        <v>NOT</v>
      </c>
      <c r="S95" s="79" t="str">
        <f t="shared" si="15"/>
        <v>NOT</v>
      </c>
      <c r="T95" s="79" t="str">
        <f t="shared" si="16"/>
        <v>NOT</v>
      </c>
      <c r="V95" s="79" t="str">
        <f t="shared" si="17"/>
        <v/>
      </c>
    </row>
    <row r="96" spans="1:22" x14ac:dyDescent="0.2">
      <c r="B96" s="259"/>
      <c r="C96" s="88"/>
      <c r="D96" s="260"/>
      <c r="E96" s="243"/>
      <c r="F96" s="261"/>
      <c r="G96" s="243"/>
      <c r="H96" s="262"/>
      <c r="I96" s="243"/>
      <c r="J96" s="262"/>
      <c r="K96" s="88"/>
      <c r="L96" s="143">
        <f t="shared" si="13"/>
        <v>0</v>
      </c>
      <c r="N96" s="81"/>
      <c r="R96" s="79" t="str">
        <f t="shared" si="14"/>
        <v>NOT</v>
      </c>
      <c r="S96" s="79" t="str">
        <f t="shared" si="15"/>
        <v>NOT</v>
      </c>
      <c r="T96" s="79" t="str">
        <f t="shared" si="16"/>
        <v>NOT</v>
      </c>
      <c r="V96" s="79" t="str">
        <f t="shared" si="17"/>
        <v/>
      </c>
    </row>
    <row r="97" spans="1:22" x14ac:dyDescent="0.2">
      <c r="B97" s="104"/>
      <c r="C97" s="88"/>
      <c r="D97" s="81"/>
      <c r="F97" s="81"/>
      <c r="H97" s="81"/>
      <c r="J97" s="81"/>
      <c r="K97" s="88"/>
      <c r="L97" s="81"/>
      <c r="N97" s="227"/>
    </row>
    <row r="98" spans="1:22" x14ac:dyDescent="0.2">
      <c r="B98" s="104"/>
      <c r="C98" s="88"/>
      <c r="D98" s="81"/>
      <c r="F98" s="81"/>
      <c r="H98" s="81"/>
      <c r="J98" s="81"/>
      <c r="K98" s="88"/>
      <c r="L98" s="81"/>
      <c r="N98" s="227"/>
    </row>
    <row r="99" spans="1:22" ht="27" customHeight="1" x14ac:dyDescent="0.2">
      <c r="A99" s="247">
        <v>5</v>
      </c>
      <c r="B99" s="248" t="s">
        <v>290</v>
      </c>
      <c r="C99" s="249"/>
      <c r="D99" s="760"/>
      <c r="E99" s="761"/>
      <c r="F99" s="761"/>
      <c r="G99" s="761"/>
      <c r="H99" s="762"/>
      <c r="I99" s="250"/>
      <c r="J99" s="251" t="s">
        <v>18</v>
      </c>
      <c r="K99" s="249"/>
      <c r="L99" s="252">
        <f>L101+L112+L130+L148+L162+L174+L192</f>
        <v>0</v>
      </c>
      <c r="M99" s="250"/>
      <c r="N99" s="253">
        <f>IF(L99=0,0%,L99/L$8)</f>
        <v>0</v>
      </c>
      <c r="O99" s="94"/>
      <c r="P99" s="95"/>
      <c r="Q99" s="79" t="str">
        <f>IF(N99&gt;O99,D99,"")</f>
        <v/>
      </c>
    </row>
    <row r="100" spans="1:22" s="76" customFormat="1" ht="7.5" customHeight="1" x14ac:dyDescent="0.2">
      <c r="A100" s="87"/>
      <c r="B100" s="88"/>
      <c r="C100" s="88"/>
      <c r="D100" s="70"/>
      <c r="E100" s="70"/>
      <c r="F100" s="70"/>
      <c r="G100" s="70"/>
      <c r="H100" s="70"/>
      <c r="I100" s="70"/>
      <c r="J100" s="70"/>
      <c r="K100" s="88"/>
      <c r="L100" s="70"/>
      <c r="M100" s="70"/>
      <c r="N100" s="70"/>
      <c r="O100" s="89"/>
      <c r="V100" s="79"/>
    </row>
    <row r="101" spans="1:22" ht="13.5" customHeight="1" x14ac:dyDescent="0.2">
      <c r="A101" s="276"/>
      <c r="B101" s="278" t="s">
        <v>291</v>
      </c>
      <c r="C101" s="277"/>
      <c r="D101" s="747" t="s">
        <v>166</v>
      </c>
      <c r="E101" s="748"/>
      <c r="F101" s="748"/>
      <c r="G101" s="748"/>
      <c r="H101" s="748"/>
      <c r="I101" s="279"/>
      <c r="J101" s="280" t="s">
        <v>18</v>
      </c>
      <c r="K101" s="88"/>
      <c r="L101" s="156">
        <f>SUM(L108:L110)</f>
        <v>0</v>
      </c>
      <c r="M101" s="246"/>
      <c r="N101" s="147">
        <f>IF(L101=0,0%,L101/L$8)</f>
        <v>0</v>
      </c>
      <c r="O101" s="495">
        <f>IF(LEN(R101)&gt;3,1,0)</f>
        <v>0</v>
      </c>
      <c r="R101" s="79" t="str">
        <f>IF(AND(R107="NOT",S107="NOT",T107="NOT"),"NOT",D101)</f>
        <v>NOT</v>
      </c>
    </row>
    <row r="102" spans="1:22" s="76" customFormat="1" ht="3" customHeight="1" x14ac:dyDescent="0.2">
      <c r="A102" s="87"/>
      <c r="B102" s="88"/>
      <c r="C102" s="88"/>
      <c r="D102" s="70"/>
      <c r="E102" s="70"/>
      <c r="F102" s="70"/>
      <c r="G102" s="70"/>
      <c r="H102" s="70"/>
      <c r="I102" s="70"/>
      <c r="J102" s="70"/>
      <c r="K102" s="88"/>
      <c r="L102" s="70"/>
      <c r="M102" s="70"/>
      <c r="N102" s="70"/>
      <c r="O102" s="89"/>
      <c r="V102" s="79"/>
    </row>
    <row r="103" spans="1:22" x14ac:dyDescent="0.2">
      <c r="B103" s="742" t="s">
        <v>197</v>
      </c>
      <c r="C103" s="743"/>
      <c r="D103" s="743"/>
      <c r="E103" s="743"/>
      <c r="F103" s="743"/>
      <c r="H103" s="81"/>
      <c r="J103" s="81"/>
      <c r="K103" s="88"/>
      <c r="L103" s="81"/>
      <c r="N103" s="227"/>
      <c r="R103" s="79" t="str">
        <f>IF(AND(($L101&gt;0),ISBLANK(B105)),B103,"NOT")</f>
        <v>NOT</v>
      </c>
    </row>
    <row r="104" spans="1:22" ht="3" customHeight="1" x14ac:dyDescent="0.2">
      <c r="B104" s="104"/>
      <c r="C104" s="88"/>
      <c r="D104" s="81"/>
      <c r="F104" s="81"/>
      <c r="H104" s="81"/>
      <c r="J104" s="81"/>
      <c r="K104" s="88"/>
      <c r="L104" s="81"/>
      <c r="N104" s="227"/>
    </row>
    <row r="105" spans="1:22" ht="36" customHeight="1" x14ac:dyDescent="0.2">
      <c r="B105" s="744"/>
      <c r="C105" s="745"/>
      <c r="D105" s="745"/>
      <c r="E105" s="745"/>
      <c r="F105" s="745"/>
      <c r="G105" s="745"/>
      <c r="H105" s="745"/>
      <c r="I105" s="745"/>
      <c r="J105" s="745"/>
      <c r="K105" s="745"/>
      <c r="L105" s="746"/>
      <c r="M105" s="70" t="s">
        <v>19</v>
      </c>
      <c r="N105" s="227"/>
    </row>
    <row r="106" spans="1:22" ht="3.75" customHeight="1" x14ac:dyDescent="0.2">
      <c r="B106" s="104"/>
      <c r="C106" s="88"/>
      <c r="D106" s="81"/>
      <c r="F106" s="81"/>
      <c r="H106" s="81"/>
      <c r="J106" s="81"/>
      <c r="K106" s="88"/>
      <c r="L106" s="81"/>
      <c r="N106" s="227"/>
    </row>
    <row r="107" spans="1:22" ht="12.75" customHeight="1" x14ac:dyDescent="0.2">
      <c r="B107" s="244" t="s">
        <v>17</v>
      </c>
      <c r="C107" s="88"/>
      <c r="D107" s="244" t="s">
        <v>580</v>
      </c>
      <c r="F107" s="244" t="s">
        <v>205</v>
      </c>
      <c r="H107" s="244" t="s">
        <v>16</v>
      </c>
      <c r="J107" s="244" t="s">
        <v>15</v>
      </c>
      <c r="K107" s="245"/>
      <c r="L107" s="103" t="s">
        <v>141</v>
      </c>
      <c r="N107" s="81"/>
      <c r="R107" s="255" t="str">
        <f>IF(AND(R108="NOT",R109="NOT",R110="NOT",R103="NOT"),"NOT",D101)</f>
        <v>NOT</v>
      </c>
      <c r="S107" s="255" t="str">
        <f>IF(AND(S108="NOT",S109="NOT",S110="NOT",R103="NOT"),"NOT",D101)</f>
        <v>NOT</v>
      </c>
      <c r="T107" s="255" t="str">
        <f>IF(AND(T108="NOT",T109="NOT",T110="NOT",R103="NOT"),"NOT",D101)</f>
        <v>NOT</v>
      </c>
    </row>
    <row r="108" spans="1:22" x14ac:dyDescent="0.2">
      <c r="B108" s="259"/>
      <c r="C108" s="88"/>
      <c r="D108" s="260"/>
      <c r="E108" s="243"/>
      <c r="F108" s="261"/>
      <c r="G108" s="243"/>
      <c r="H108" s="262"/>
      <c r="I108" s="243"/>
      <c r="J108" s="262"/>
      <c r="K108" s="88"/>
      <c r="L108" s="143">
        <f>TRUNC(H108*J108,2)</f>
        <v>0</v>
      </c>
      <c r="N108" s="81"/>
      <c r="R108" s="79" t="str">
        <f>IF(AND(($L108&gt;0),ISBLANK(B108)),B108,"NOT")</f>
        <v>NOT</v>
      </c>
      <c r="S108" s="79" t="str">
        <f>IF(AND(($L108&gt;0),ISBLANK(D108)),D108,"NOT")</f>
        <v>NOT</v>
      </c>
      <c r="T108" s="79" t="str">
        <f>IF(AND(($L108&gt;0),ISBLANK(F108)),F108,"NOT")</f>
        <v>NOT</v>
      </c>
      <c r="V108" s="79" t="str">
        <f>LEFT(D108,3)</f>
        <v/>
      </c>
    </row>
    <row r="109" spans="1:22" x14ac:dyDescent="0.2">
      <c r="B109" s="259"/>
      <c r="C109" s="88"/>
      <c r="D109" s="260"/>
      <c r="E109" s="243"/>
      <c r="F109" s="261"/>
      <c r="G109" s="243"/>
      <c r="H109" s="262"/>
      <c r="I109" s="243"/>
      <c r="J109" s="262"/>
      <c r="K109" s="88"/>
      <c r="L109" s="143">
        <f>TRUNC(H109*J109,2)</f>
        <v>0</v>
      </c>
      <c r="N109" s="81"/>
      <c r="R109" s="79" t="str">
        <f>IF(AND(($L109&gt;0),ISBLANK(B109)),B109,"NOT")</f>
        <v>NOT</v>
      </c>
      <c r="S109" s="79" t="str">
        <f>IF(AND(($L109&gt;0),ISBLANK(D109)),D109,"NOT")</f>
        <v>NOT</v>
      </c>
      <c r="T109" s="79" t="str">
        <f>IF(AND(($L109&gt;0),ISBLANK(F109)),F109,"NOT")</f>
        <v>NOT</v>
      </c>
      <c r="V109" s="79" t="str">
        <f>LEFT(D109,3)</f>
        <v/>
      </c>
    </row>
    <row r="110" spans="1:22" x14ac:dyDescent="0.2">
      <c r="B110" s="259"/>
      <c r="C110" s="88"/>
      <c r="D110" s="260"/>
      <c r="E110" s="243"/>
      <c r="F110" s="261"/>
      <c r="G110" s="243"/>
      <c r="H110" s="262"/>
      <c r="I110" s="243"/>
      <c r="J110" s="262"/>
      <c r="K110" s="88"/>
      <c r="L110" s="143">
        <f>TRUNC(H110*J110,2)</f>
        <v>0</v>
      </c>
      <c r="N110" s="81"/>
      <c r="R110" s="79" t="str">
        <f>IF(AND(($L110&gt;0),ISBLANK(B110)),B110,"NOT")</f>
        <v>NOT</v>
      </c>
      <c r="S110" s="79" t="str">
        <f>IF(AND(($L110&gt;0),ISBLANK(D110)),D110,"NOT")</f>
        <v>NOT</v>
      </c>
      <c r="T110" s="79" t="str">
        <f>IF(AND(($L110&gt;0),ISBLANK(F110)),F110,"NOT")</f>
        <v>NOT</v>
      </c>
      <c r="V110" s="79" t="str">
        <f>LEFT(D110,3)</f>
        <v/>
      </c>
    </row>
    <row r="111" spans="1:22" x14ac:dyDescent="0.2">
      <c r="B111" s="104"/>
      <c r="C111" s="88"/>
      <c r="D111" s="81"/>
      <c r="F111" s="81"/>
      <c r="H111" s="81"/>
      <c r="J111" s="81"/>
      <c r="K111" s="88"/>
      <c r="L111" s="81"/>
      <c r="N111" s="227"/>
    </row>
    <row r="112" spans="1:22" ht="25.5" customHeight="1" x14ac:dyDescent="0.2">
      <c r="A112" s="276"/>
      <c r="B112" s="278" t="s">
        <v>292</v>
      </c>
      <c r="C112" s="277"/>
      <c r="D112" s="747" t="s">
        <v>166</v>
      </c>
      <c r="E112" s="748"/>
      <c r="F112" s="748"/>
      <c r="G112" s="748"/>
      <c r="H112" s="748"/>
      <c r="I112" s="279"/>
      <c r="J112" s="280" t="s">
        <v>18</v>
      </c>
      <c r="K112" s="88"/>
      <c r="L112" s="156">
        <f>SUM(L119:L128)</f>
        <v>0</v>
      </c>
      <c r="M112" s="246"/>
      <c r="N112" s="147">
        <f>IF(L112=0,0%,L112/L$8)</f>
        <v>0</v>
      </c>
      <c r="O112" s="495">
        <f>IF(LEN(R112)&gt;3,1,0)</f>
        <v>0</v>
      </c>
      <c r="R112" s="79" t="str">
        <f>IF(AND(R118="NOT",S118="NOT",T118="NOT"),"NOT",D112)</f>
        <v>NOT</v>
      </c>
    </row>
    <row r="113" spans="1:22" s="76" customFormat="1" ht="3" customHeight="1" x14ac:dyDescent="0.2">
      <c r="A113" s="87"/>
      <c r="B113" s="88"/>
      <c r="C113" s="88"/>
      <c r="D113" s="70"/>
      <c r="E113" s="70"/>
      <c r="F113" s="70"/>
      <c r="G113" s="70"/>
      <c r="H113" s="70"/>
      <c r="I113" s="70"/>
      <c r="J113" s="70"/>
      <c r="K113" s="88"/>
      <c r="L113" s="70"/>
      <c r="M113" s="70"/>
      <c r="N113" s="70"/>
      <c r="O113" s="89"/>
      <c r="V113" s="79"/>
    </row>
    <row r="114" spans="1:22" ht="25.5" customHeight="1" x14ac:dyDescent="0.2">
      <c r="B114" s="749" t="s">
        <v>203</v>
      </c>
      <c r="C114" s="787"/>
      <c r="D114" s="787"/>
      <c r="E114" s="787"/>
      <c r="F114" s="787"/>
      <c r="H114" s="81"/>
      <c r="J114" s="81"/>
      <c r="K114" s="88"/>
      <c r="L114" s="81"/>
      <c r="N114" s="227"/>
      <c r="R114" s="79" t="str">
        <f>IF(AND(($L112&gt;0),ISBLANK(B116)),B114,"NOT")</f>
        <v>NOT</v>
      </c>
    </row>
    <row r="115" spans="1:22" ht="3" customHeight="1" x14ac:dyDescent="0.2">
      <c r="B115" s="104"/>
      <c r="C115" s="88"/>
      <c r="D115" s="81"/>
      <c r="F115" s="81"/>
      <c r="H115" s="81"/>
      <c r="J115" s="81"/>
      <c r="K115" s="88"/>
      <c r="L115" s="81"/>
      <c r="N115" s="227"/>
    </row>
    <row r="116" spans="1:22" ht="60" customHeight="1" x14ac:dyDescent="0.2">
      <c r="B116" s="744"/>
      <c r="C116" s="745"/>
      <c r="D116" s="745"/>
      <c r="E116" s="745"/>
      <c r="F116" s="745"/>
      <c r="G116" s="745"/>
      <c r="H116" s="745"/>
      <c r="I116" s="745"/>
      <c r="J116" s="745"/>
      <c r="K116" s="745"/>
      <c r="L116" s="746"/>
      <c r="M116" s="70" t="s">
        <v>19</v>
      </c>
      <c r="N116" s="227"/>
    </row>
    <row r="117" spans="1:22" ht="3.75" customHeight="1" x14ac:dyDescent="0.2">
      <c r="B117" s="104"/>
      <c r="C117" s="88"/>
      <c r="D117" s="81"/>
      <c r="F117" s="81"/>
      <c r="H117" s="81"/>
      <c r="J117" s="81"/>
      <c r="K117" s="88"/>
      <c r="L117" s="81"/>
      <c r="N117" s="227"/>
    </row>
    <row r="118" spans="1:22" ht="25.5" x14ac:dyDescent="0.2">
      <c r="B118" s="244" t="s">
        <v>579</v>
      </c>
      <c r="C118" s="88"/>
      <c r="D118" s="244" t="s">
        <v>580</v>
      </c>
      <c r="F118" s="244" t="s">
        <v>205</v>
      </c>
      <c r="H118" s="244" t="s">
        <v>16</v>
      </c>
      <c r="J118" s="244" t="s">
        <v>15</v>
      </c>
      <c r="K118" s="245"/>
      <c r="L118" s="103" t="s">
        <v>141</v>
      </c>
      <c r="N118" s="81"/>
      <c r="R118" s="255" t="str">
        <f>IF(AND(R119="NOT",R120="NOT",R121="NOT",R122="NOT",R123="NOT",R124="NOT",R125="NOT",R126="NOT",R127="NOT",R128="NOT",R114="NOT"),"NOT",D112)</f>
        <v>NOT</v>
      </c>
      <c r="S118" s="255" t="str">
        <f>IF(AND(S119="NOT",S120="NOT",S121="NOT",S122="NOT",S123="NOT",S124="NOT",S125="NOT",S126="NOT",S127="NOT",S128="NOT",R114="NOT"),"NOT",D112)</f>
        <v>NOT</v>
      </c>
      <c r="T118" s="255" t="str">
        <f>IF(AND(T119="NOT",T120="NOT",T121="NOT",T122="NOT",T123="NOT",T124="NOT",T125="NOT",T126="NOT",T127="NOT",T128="NOT",R114="NOT"),"NOT",D112)</f>
        <v>NOT</v>
      </c>
    </row>
    <row r="119" spans="1:22" x14ac:dyDescent="0.2">
      <c r="B119" s="259"/>
      <c r="C119" s="88"/>
      <c r="D119" s="260"/>
      <c r="E119" s="243"/>
      <c r="F119" s="261"/>
      <c r="G119" s="243"/>
      <c r="H119" s="262"/>
      <c r="I119" s="243"/>
      <c r="J119" s="262"/>
      <c r="K119" s="88"/>
      <c r="L119" s="143">
        <f t="shared" ref="L119:L128" si="18">TRUNC(H119*J119,2)</f>
        <v>0</v>
      </c>
      <c r="N119" s="81"/>
      <c r="R119" s="79" t="str">
        <f t="shared" ref="R119:R128" si="19">IF(AND(($L119&gt;0),ISBLANK(B119)),B119,"NOT")</f>
        <v>NOT</v>
      </c>
      <c r="S119" s="79" t="str">
        <f t="shared" ref="S119:S128" si="20">IF(AND(($L119&gt;0),ISBLANK(D119)),D119,"NOT")</f>
        <v>NOT</v>
      </c>
      <c r="T119" s="79" t="str">
        <f t="shared" ref="T119:T128" si="21">IF(AND(($L119&gt;0),ISBLANK(F119)),F119,"NOT")</f>
        <v>NOT</v>
      </c>
      <c r="V119" s="79" t="str">
        <f t="shared" ref="V119:V128" si="22">LEFT(D119,3)</f>
        <v/>
      </c>
    </row>
    <row r="120" spans="1:22" x14ac:dyDescent="0.2">
      <c r="B120" s="259"/>
      <c r="C120" s="88"/>
      <c r="D120" s="260"/>
      <c r="E120" s="243"/>
      <c r="F120" s="261"/>
      <c r="G120" s="243"/>
      <c r="H120" s="262"/>
      <c r="I120" s="243"/>
      <c r="J120" s="262"/>
      <c r="K120" s="88"/>
      <c r="L120" s="143">
        <f t="shared" si="18"/>
        <v>0</v>
      </c>
      <c r="N120" s="81"/>
      <c r="R120" s="79" t="str">
        <f t="shared" si="19"/>
        <v>NOT</v>
      </c>
      <c r="S120" s="79" t="str">
        <f t="shared" si="20"/>
        <v>NOT</v>
      </c>
      <c r="T120" s="79" t="str">
        <f t="shared" si="21"/>
        <v>NOT</v>
      </c>
      <c r="V120" s="79" t="str">
        <f t="shared" si="22"/>
        <v/>
      </c>
    </row>
    <row r="121" spans="1:22" x14ac:dyDescent="0.2">
      <c r="B121" s="259"/>
      <c r="C121" s="88"/>
      <c r="D121" s="260"/>
      <c r="E121" s="243"/>
      <c r="F121" s="261"/>
      <c r="G121" s="243"/>
      <c r="H121" s="262"/>
      <c r="I121" s="243"/>
      <c r="J121" s="262"/>
      <c r="K121" s="88"/>
      <c r="L121" s="143">
        <f t="shared" si="18"/>
        <v>0</v>
      </c>
      <c r="N121" s="81"/>
      <c r="R121" s="79" t="str">
        <f t="shared" si="19"/>
        <v>NOT</v>
      </c>
      <c r="S121" s="79" t="str">
        <f t="shared" si="20"/>
        <v>NOT</v>
      </c>
      <c r="T121" s="79" t="str">
        <f t="shared" si="21"/>
        <v>NOT</v>
      </c>
      <c r="V121" s="79" t="str">
        <f t="shared" si="22"/>
        <v/>
      </c>
    </row>
    <row r="122" spans="1:22" x14ac:dyDescent="0.2">
      <c r="B122" s="259"/>
      <c r="C122" s="88"/>
      <c r="D122" s="260"/>
      <c r="E122" s="243"/>
      <c r="F122" s="261"/>
      <c r="G122" s="243"/>
      <c r="H122" s="262"/>
      <c r="I122" s="243"/>
      <c r="J122" s="262"/>
      <c r="K122" s="88"/>
      <c r="L122" s="143">
        <f t="shared" si="18"/>
        <v>0</v>
      </c>
      <c r="N122" s="81"/>
      <c r="R122" s="79" t="str">
        <f t="shared" si="19"/>
        <v>NOT</v>
      </c>
      <c r="S122" s="79" t="str">
        <f t="shared" si="20"/>
        <v>NOT</v>
      </c>
      <c r="T122" s="79" t="str">
        <f t="shared" si="21"/>
        <v>NOT</v>
      </c>
      <c r="V122" s="79" t="str">
        <f t="shared" si="22"/>
        <v/>
      </c>
    </row>
    <row r="123" spans="1:22" x14ac:dyDescent="0.2">
      <c r="B123" s="259"/>
      <c r="C123" s="88"/>
      <c r="D123" s="260"/>
      <c r="E123" s="243"/>
      <c r="F123" s="261"/>
      <c r="G123" s="243"/>
      <c r="H123" s="262"/>
      <c r="I123" s="243"/>
      <c r="J123" s="262"/>
      <c r="K123" s="88"/>
      <c r="L123" s="143">
        <f t="shared" si="18"/>
        <v>0</v>
      </c>
      <c r="N123" s="81"/>
      <c r="R123" s="79" t="str">
        <f t="shared" si="19"/>
        <v>NOT</v>
      </c>
      <c r="S123" s="79" t="str">
        <f t="shared" si="20"/>
        <v>NOT</v>
      </c>
      <c r="T123" s="79" t="str">
        <f t="shared" si="21"/>
        <v>NOT</v>
      </c>
      <c r="V123" s="79" t="str">
        <f t="shared" si="22"/>
        <v/>
      </c>
    </row>
    <row r="124" spans="1:22" x14ac:dyDescent="0.2">
      <c r="B124" s="259"/>
      <c r="C124" s="88"/>
      <c r="D124" s="260"/>
      <c r="E124" s="243"/>
      <c r="F124" s="261"/>
      <c r="G124" s="243"/>
      <c r="H124" s="262"/>
      <c r="I124" s="243"/>
      <c r="J124" s="262"/>
      <c r="K124" s="88"/>
      <c r="L124" s="143">
        <f t="shared" si="18"/>
        <v>0</v>
      </c>
      <c r="N124" s="81"/>
      <c r="R124" s="79" t="str">
        <f t="shared" si="19"/>
        <v>NOT</v>
      </c>
      <c r="S124" s="79" t="str">
        <f t="shared" si="20"/>
        <v>NOT</v>
      </c>
      <c r="T124" s="79" t="str">
        <f t="shared" si="21"/>
        <v>NOT</v>
      </c>
      <c r="V124" s="79" t="str">
        <f t="shared" si="22"/>
        <v/>
      </c>
    </row>
    <row r="125" spans="1:22" x14ac:dyDescent="0.2">
      <c r="B125" s="259"/>
      <c r="C125" s="88"/>
      <c r="D125" s="260"/>
      <c r="E125" s="243"/>
      <c r="F125" s="261"/>
      <c r="G125" s="243"/>
      <c r="H125" s="262"/>
      <c r="I125" s="243"/>
      <c r="J125" s="262"/>
      <c r="K125" s="88"/>
      <c r="L125" s="143">
        <f t="shared" si="18"/>
        <v>0</v>
      </c>
      <c r="N125" s="81"/>
      <c r="R125" s="79" t="str">
        <f t="shared" si="19"/>
        <v>NOT</v>
      </c>
      <c r="S125" s="79" t="str">
        <f t="shared" si="20"/>
        <v>NOT</v>
      </c>
      <c r="T125" s="79" t="str">
        <f t="shared" si="21"/>
        <v>NOT</v>
      </c>
      <c r="V125" s="79" t="str">
        <f t="shared" si="22"/>
        <v/>
      </c>
    </row>
    <row r="126" spans="1:22" x14ac:dyDescent="0.2">
      <c r="B126" s="259"/>
      <c r="C126" s="88"/>
      <c r="D126" s="260"/>
      <c r="E126" s="243"/>
      <c r="F126" s="261"/>
      <c r="G126" s="243"/>
      <c r="H126" s="262"/>
      <c r="I126" s="243"/>
      <c r="J126" s="262"/>
      <c r="K126" s="88"/>
      <c r="L126" s="143">
        <f t="shared" si="18"/>
        <v>0</v>
      </c>
      <c r="N126" s="81"/>
      <c r="R126" s="79" t="str">
        <f t="shared" si="19"/>
        <v>NOT</v>
      </c>
      <c r="S126" s="79" t="str">
        <f t="shared" si="20"/>
        <v>NOT</v>
      </c>
      <c r="T126" s="79" t="str">
        <f t="shared" si="21"/>
        <v>NOT</v>
      </c>
      <c r="V126" s="79" t="str">
        <f t="shared" si="22"/>
        <v/>
      </c>
    </row>
    <row r="127" spans="1:22" x14ac:dyDescent="0.2">
      <c r="B127" s="259"/>
      <c r="C127" s="88"/>
      <c r="D127" s="260"/>
      <c r="E127" s="243"/>
      <c r="F127" s="261"/>
      <c r="G127" s="243"/>
      <c r="H127" s="262"/>
      <c r="I127" s="243"/>
      <c r="J127" s="262"/>
      <c r="K127" s="88"/>
      <c r="L127" s="143">
        <f t="shared" si="18"/>
        <v>0</v>
      </c>
      <c r="N127" s="81"/>
      <c r="R127" s="79" t="str">
        <f t="shared" si="19"/>
        <v>NOT</v>
      </c>
      <c r="S127" s="79" t="str">
        <f t="shared" si="20"/>
        <v>NOT</v>
      </c>
      <c r="T127" s="79" t="str">
        <f t="shared" si="21"/>
        <v>NOT</v>
      </c>
      <c r="V127" s="79" t="str">
        <f t="shared" si="22"/>
        <v/>
      </c>
    </row>
    <row r="128" spans="1:22" x14ac:dyDescent="0.2">
      <c r="B128" s="259"/>
      <c r="C128" s="88"/>
      <c r="D128" s="260"/>
      <c r="E128" s="243"/>
      <c r="F128" s="261"/>
      <c r="G128" s="243"/>
      <c r="H128" s="262"/>
      <c r="I128" s="243"/>
      <c r="J128" s="262"/>
      <c r="K128" s="88"/>
      <c r="L128" s="143">
        <f t="shared" si="18"/>
        <v>0</v>
      </c>
      <c r="N128" s="81"/>
      <c r="R128" s="79" t="str">
        <f t="shared" si="19"/>
        <v>NOT</v>
      </c>
      <c r="S128" s="79" t="str">
        <f t="shared" si="20"/>
        <v>NOT</v>
      </c>
      <c r="T128" s="79" t="str">
        <f t="shared" si="21"/>
        <v>NOT</v>
      </c>
      <c r="V128" s="79" t="str">
        <f t="shared" si="22"/>
        <v/>
      </c>
    </row>
    <row r="129" spans="1:22" s="76" customFormat="1" ht="12.75" customHeight="1" x14ac:dyDescent="0.2">
      <c r="A129" s="87"/>
      <c r="B129" s="88"/>
      <c r="C129" s="88"/>
      <c r="D129" s="70"/>
      <c r="E129" s="70"/>
      <c r="F129" s="70"/>
      <c r="G129" s="70"/>
      <c r="H129" s="70"/>
      <c r="I129" s="70"/>
      <c r="J129" s="70"/>
      <c r="K129" s="88"/>
      <c r="L129" s="70"/>
      <c r="M129" s="70"/>
      <c r="N129" s="70"/>
      <c r="O129" s="89"/>
      <c r="V129" s="79"/>
    </row>
    <row r="130" spans="1:22" ht="28.5" customHeight="1" x14ac:dyDescent="0.2">
      <c r="A130" s="276"/>
      <c r="B130" s="278" t="s">
        <v>295</v>
      </c>
      <c r="C130" s="277"/>
      <c r="D130" s="747" t="s">
        <v>166</v>
      </c>
      <c r="E130" s="748"/>
      <c r="F130" s="748"/>
      <c r="G130" s="748"/>
      <c r="H130" s="748"/>
      <c r="I130" s="279"/>
      <c r="J130" s="280" t="s">
        <v>18</v>
      </c>
      <c r="K130" s="88"/>
      <c r="L130" s="156">
        <f>SUM(L137:L146)</f>
        <v>0</v>
      </c>
      <c r="M130" s="246"/>
      <c r="N130" s="147">
        <f>IF(L130=0,0%,L130/L$8)</f>
        <v>0</v>
      </c>
      <c r="O130" s="495">
        <f>IF(LEN(R130)&gt;3,1,0)</f>
        <v>0</v>
      </c>
      <c r="R130" s="79" t="str">
        <f>IF(AND(R136="NOT",S136="NOT",T136="NOT"),"NOT",D130)</f>
        <v>NOT</v>
      </c>
    </row>
    <row r="131" spans="1:22" s="76" customFormat="1" ht="3" customHeight="1" x14ac:dyDescent="0.2">
      <c r="A131" s="87"/>
      <c r="B131" s="88"/>
      <c r="C131" s="88"/>
      <c r="D131" s="70"/>
      <c r="E131" s="70"/>
      <c r="F131" s="70"/>
      <c r="G131" s="70"/>
      <c r="H131" s="70"/>
      <c r="I131" s="70"/>
      <c r="J131" s="70"/>
      <c r="K131" s="88"/>
      <c r="L131" s="70"/>
      <c r="M131" s="70"/>
      <c r="N131" s="70"/>
      <c r="O131" s="89"/>
      <c r="V131" s="79"/>
    </row>
    <row r="132" spans="1:22" ht="27.75" customHeight="1" x14ac:dyDescent="0.2">
      <c r="B132" s="742" t="s">
        <v>198</v>
      </c>
      <c r="C132" s="743"/>
      <c r="D132" s="743"/>
      <c r="E132" s="743"/>
      <c r="F132" s="743"/>
      <c r="H132" s="81"/>
      <c r="J132" s="81"/>
      <c r="K132" s="88"/>
      <c r="L132" s="81"/>
      <c r="N132" s="227"/>
      <c r="R132" s="79" t="str">
        <f>IF(AND(($L130&gt;0),ISBLANK(B134)),B132,"NOT")</f>
        <v>NOT</v>
      </c>
    </row>
    <row r="133" spans="1:22" ht="3" customHeight="1" x14ac:dyDescent="0.2">
      <c r="B133" s="104"/>
      <c r="C133" s="88"/>
      <c r="D133" s="81"/>
      <c r="F133" s="81"/>
      <c r="H133" s="81"/>
      <c r="J133" s="81"/>
      <c r="K133" s="88"/>
      <c r="L133" s="81"/>
      <c r="N133" s="227"/>
    </row>
    <row r="134" spans="1:22" ht="81" customHeight="1" x14ac:dyDescent="0.2">
      <c r="B134" s="744"/>
      <c r="C134" s="745"/>
      <c r="D134" s="745"/>
      <c r="E134" s="745"/>
      <c r="F134" s="745"/>
      <c r="G134" s="745"/>
      <c r="H134" s="745"/>
      <c r="I134" s="745"/>
      <c r="J134" s="745"/>
      <c r="K134" s="745"/>
      <c r="L134" s="746"/>
      <c r="M134" s="70" t="s">
        <v>19</v>
      </c>
      <c r="N134" s="227"/>
    </row>
    <row r="135" spans="1:22" ht="3.75" customHeight="1" x14ac:dyDescent="0.2">
      <c r="B135" s="104"/>
      <c r="C135" s="88"/>
      <c r="D135" s="81"/>
      <c r="F135" s="81"/>
      <c r="H135" s="81"/>
      <c r="J135" s="81"/>
      <c r="K135" s="88"/>
      <c r="L135" s="81"/>
      <c r="N135" s="227"/>
    </row>
    <row r="136" spans="1:22" ht="38.25" x14ac:dyDescent="0.2">
      <c r="B136" s="244" t="s">
        <v>199</v>
      </c>
      <c r="C136" s="88"/>
      <c r="D136" s="244" t="s">
        <v>580</v>
      </c>
      <c r="F136" s="244" t="s">
        <v>205</v>
      </c>
      <c r="H136" s="244" t="s">
        <v>16</v>
      </c>
      <c r="J136" s="244" t="s">
        <v>15</v>
      </c>
      <c r="K136" s="245"/>
      <c r="L136" s="103" t="s">
        <v>141</v>
      </c>
      <c r="N136" s="81"/>
      <c r="R136" s="255" t="str">
        <f>IF(AND(R137="NOT",R138="NOT",R139="NOT",R140="NOT",R141="NOT",R142="NOT",R143="NOT",R144="NOT",R145="NOT",R146="NOT",R132="NOT"),"NOT",D130)</f>
        <v>NOT</v>
      </c>
      <c r="S136" s="255" t="str">
        <f>IF(AND(S137="NOT",S138="NOT",S139="NOT",S140="NOT",S141="NOT",S142="NOT",S143="NOT",S144="NOT",S145="NOT",S146="NOT",R132="NOT"),"NOT",D130)</f>
        <v>NOT</v>
      </c>
      <c r="T136" s="255" t="str">
        <f>IF(AND(T137="NOT",T138="NOT",T139="NOT",T140="NOT",T141="NOT",T142="NOT",T143="NOT",T144="NOT",T145="NOT",T146="NOT",R132="NOT"),"NOT",D130)</f>
        <v>NOT</v>
      </c>
    </row>
    <row r="137" spans="1:22" x14ac:dyDescent="0.2">
      <c r="B137" s="259"/>
      <c r="C137" s="88"/>
      <c r="D137" s="260"/>
      <c r="E137" s="243"/>
      <c r="F137" s="261"/>
      <c r="G137" s="243"/>
      <c r="H137" s="262"/>
      <c r="I137" s="243"/>
      <c r="J137" s="262"/>
      <c r="K137" s="88"/>
      <c r="L137" s="143">
        <f t="shared" ref="L137:L146" si="23">TRUNC(H137*J137,2)</f>
        <v>0</v>
      </c>
      <c r="N137" s="81"/>
      <c r="R137" s="79" t="str">
        <f t="shared" ref="R137:R146" si="24">IF(AND(($L137&gt;0),ISBLANK(B137)),B137,"NOT")</f>
        <v>NOT</v>
      </c>
      <c r="S137" s="79" t="str">
        <f t="shared" ref="S137:S146" si="25">IF(AND(($L137&gt;0),ISBLANK(D137)),D137,"NOT")</f>
        <v>NOT</v>
      </c>
      <c r="T137" s="79" t="str">
        <f t="shared" ref="T137:T146" si="26">IF(AND(($L137&gt;0),ISBLANK(F137)),F137,"NOT")</f>
        <v>NOT</v>
      </c>
      <c r="V137" s="79" t="str">
        <f t="shared" ref="V137:V160" si="27">LEFT(D137,3)</f>
        <v/>
      </c>
    </row>
    <row r="138" spans="1:22" x14ac:dyDescent="0.2">
      <c r="B138" s="259"/>
      <c r="C138" s="88"/>
      <c r="D138" s="260"/>
      <c r="E138" s="243"/>
      <c r="F138" s="261"/>
      <c r="G138" s="243"/>
      <c r="H138" s="262"/>
      <c r="I138" s="243"/>
      <c r="J138" s="262"/>
      <c r="K138" s="88"/>
      <c r="L138" s="143">
        <f t="shared" si="23"/>
        <v>0</v>
      </c>
      <c r="N138" s="81"/>
      <c r="R138" s="79" t="str">
        <f t="shared" si="24"/>
        <v>NOT</v>
      </c>
      <c r="S138" s="79" t="str">
        <f t="shared" si="25"/>
        <v>NOT</v>
      </c>
      <c r="T138" s="79" t="str">
        <f t="shared" si="26"/>
        <v>NOT</v>
      </c>
      <c r="V138" s="79" t="str">
        <f t="shared" si="27"/>
        <v/>
      </c>
    </row>
    <row r="139" spans="1:22" x14ac:dyDescent="0.2">
      <c r="B139" s="259"/>
      <c r="C139" s="88"/>
      <c r="D139" s="260"/>
      <c r="E139" s="243"/>
      <c r="F139" s="261"/>
      <c r="G139" s="243"/>
      <c r="H139" s="262"/>
      <c r="I139" s="243"/>
      <c r="J139" s="262"/>
      <c r="K139" s="88"/>
      <c r="L139" s="143">
        <f t="shared" si="23"/>
        <v>0</v>
      </c>
      <c r="N139" s="81"/>
      <c r="R139" s="79" t="str">
        <f t="shared" si="24"/>
        <v>NOT</v>
      </c>
      <c r="S139" s="79" t="str">
        <f t="shared" si="25"/>
        <v>NOT</v>
      </c>
      <c r="T139" s="79" t="str">
        <f t="shared" si="26"/>
        <v>NOT</v>
      </c>
      <c r="V139" s="79" t="str">
        <f t="shared" si="27"/>
        <v/>
      </c>
    </row>
    <row r="140" spans="1:22" x14ac:dyDescent="0.2">
      <c r="B140" s="259"/>
      <c r="C140" s="88"/>
      <c r="D140" s="260"/>
      <c r="E140" s="243"/>
      <c r="F140" s="261"/>
      <c r="G140" s="243"/>
      <c r="H140" s="262"/>
      <c r="I140" s="243"/>
      <c r="J140" s="262"/>
      <c r="K140" s="88"/>
      <c r="L140" s="143">
        <f t="shared" si="23"/>
        <v>0</v>
      </c>
      <c r="N140" s="81"/>
      <c r="R140" s="79" t="str">
        <f t="shared" si="24"/>
        <v>NOT</v>
      </c>
      <c r="S140" s="79" t="str">
        <f t="shared" si="25"/>
        <v>NOT</v>
      </c>
      <c r="T140" s="79" t="str">
        <f t="shared" si="26"/>
        <v>NOT</v>
      </c>
      <c r="V140" s="79" t="str">
        <f t="shared" si="27"/>
        <v/>
      </c>
    </row>
    <row r="141" spans="1:22" x14ac:dyDescent="0.2">
      <c r="B141" s="259"/>
      <c r="C141" s="88"/>
      <c r="D141" s="260"/>
      <c r="E141" s="243"/>
      <c r="F141" s="261"/>
      <c r="G141" s="243"/>
      <c r="H141" s="262"/>
      <c r="I141" s="243"/>
      <c r="J141" s="262"/>
      <c r="K141" s="88"/>
      <c r="L141" s="143">
        <f t="shared" si="23"/>
        <v>0</v>
      </c>
      <c r="N141" s="81"/>
      <c r="R141" s="79" t="str">
        <f t="shared" si="24"/>
        <v>NOT</v>
      </c>
      <c r="S141" s="79" t="str">
        <f t="shared" si="25"/>
        <v>NOT</v>
      </c>
      <c r="T141" s="79" t="str">
        <f t="shared" si="26"/>
        <v>NOT</v>
      </c>
      <c r="V141" s="79" t="str">
        <f t="shared" si="27"/>
        <v/>
      </c>
    </row>
    <row r="142" spans="1:22" x14ac:dyDescent="0.2">
      <c r="B142" s="259"/>
      <c r="C142" s="88"/>
      <c r="D142" s="260"/>
      <c r="E142" s="243"/>
      <c r="F142" s="261"/>
      <c r="G142" s="243"/>
      <c r="H142" s="262"/>
      <c r="I142" s="243"/>
      <c r="J142" s="262"/>
      <c r="K142" s="88"/>
      <c r="L142" s="143">
        <f t="shared" si="23"/>
        <v>0</v>
      </c>
      <c r="N142" s="81"/>
      <c r="R142" s="79" t="str">
        <f t="shared" si="24"/>
        <v>NOT</v>
      </c>
      <c r="S142" s="79" t="str">
        <f t="shared" si="25"/>
        <v>NOT</v>
      </c>
      <c r="T142" s="79" t="str">
        <f t="shared" si="26"/>
        <v>NOT</v>
      </c>
      <c r="V142" s="79" t="str">
        <f t="shared" si="27"/>
        <v/>
      </c>
    </row>
    <row r="143" spans="1:22" x14ac:dyDescent="0.2">
      <c r="B143" s="259"/>
      <c r="C143" s="88"/>
      <c r="D143" s="260"/>
      <c r="E143" s="243"/>
      <c r="F143" s="261"/>
      <c r="G143" s="243"/>
      <c r="H143" s="262"/>
      <c r="I143" s="243"/>
      <c r="J143" s="262"/>
      <c r="K143" s="88"/>
      <c r="L143" s="143">
        <f t="shared" si="23"/>
        <v>0</v>
      </c>
      <c r="N143" s="81"/>
      <c r="R143" s="79" t="str">
        <f t="shared" si="24"/>
        <v>NOT</v>
      </c>
      <c r="S143" s="79" t="str">
        <f t="shared" si="25"/>
        <v>NOT</v>
      </c>
      <c r="T143" s="79" t="str">
        <f t="shared" si="26"/>
        <v>NOT</v>
      </c>
      <c r="V143" s="79" t="str">
        <f t="shared" si="27"/>
        <v/>
      </c>
    </row>
    <row r="144" spans="1:22" x14ac:dyDescent="0.2">
      <c r="B144" s="259"/>
      <c r="C144" s="88"/>
      <c r="D144" s="260"/>
      <c r="E144" s="243"/>
      <c r="F144" s="261"/>
      <c r="G144" s="243"/>
      <c r="H144" s="262"/>
      <c r="I144" s="243"/>
      <c r="J144" s="262"/>
      <c r="K144" s="88"/>
      <c r="L144" s="143">
        <f t="shared" si="23"/>
        <v>0</v>
      </c>
      <c r="N144" s="81"/>
      <c r="R144" s="79" t="str">
        <f t="shared" si="24"/>
        <v>NOT</v>
      </c>
      <c r="S144" s="79" t="str">
        <f t="shared" si="25"/>
        <v>NOT</v>
      </c>
      <c r="T144" s="79" t="str">
        <f t="shared" si="26"/>
        <v>NOT</v>
      </c>
      <c r="V144" s="79" t="str">
        <f t="shared" si="27"/>
        <v/>
      </c>
    </row>
    <row r="145" spans="1:22" x14ac:dyDescent="0.2">
      <c r="B145" s="259"/>
      <c r="C145" s="88"/>
      <c r="D145" s="260"/>
      <c r="E145" s="243"/>
      <c r="F145" s="261"/>
      <c r="G145" s="243"/>
      <c r="H145" s="262"/>
      <c r="I145" s="243"/>
      <c r="J145" s="262"/>
      <c r="K145" s="88"/>
      <c r="L145" s="143">
        <f t="shared" si="23"/>
        <v>0</v>
      </c>
      <c r="N145" s="81"/>
      <c r="R145" s="79" t="str">
        <f t="shared" si="24"/>
        <v>NOT</v>
      </c>
      <c r="S145" s="79" t="str">
        <f t="shared" si="25"/>
        <v>NOT</v>
      </c>
      <c r="T145" s="79" t="str">
        <f t="shared" si="26"/>
        <v>NOT</v>
      </c>
      <c r="V145" s="79" t="str">
        <f t="shared" si="27"/>
        <v/>
      </c>
    </row>
    <row r="146" spans="1:22" x14ac:dyDescent="0.2">
      <c r="B146" s="259"/>
      <c r="C146" s="88"/>
      <c r="D146" s="260"/>
      <c r="E146" s="243"/>
      <c r="F146" s="261"/>
      <c r="G146" s="243"/>
      <c r="H146" s="262"/>
      <c r="I146" s="243"/>
      <c r="J146" s="262"/>
      <c r="K146" s="88"/>
      <c r="L146" s="143">
        <f t="shared" si="23"/>
        <v>0</v>
      </c>
      <c r="N146" s="81"/>
      <c r="R146" s="79" t="str">
        <f t="shared" si="24"/>
        <v>NOT</v>
      </c>
      <c r="S146" s="79" t="str">
        <f t="shared" si="25"/>
        <v>NOT</v>
      </c>
      <c r="T146" s="79" t="str">
        <f t="shared" si="26"/>
        <v>NOT</v>
      </c>
      <c r="V146" s="79" t="str">
        <f t="shared" si="27"/>
        <v/>
      </c>
    </row>
    <row r="147" spans="1:22" s="76" customFormat="1" x14ac:dyDescent="0.2">
      <c r="A147" s="87"/>
      <c r="B147" s="88"/>
      <c r="C147" s="88"/>
      <c r="D147" s="70"/>
      <c r="E147" s="70"/>
      <c r="F147" s="70"/>
      <c r="G147" s="70"/>
      <c r="H147" s="70"/>
      <c r="I147" s="70"/>
      <c r="J147" s="70"/>
      <c r="K147" s="88"/>
      <c r="L147" s="70"/>
      <c r="M147" s="70"/>
      <c r="N147" s="70"/>
      <c r="O147" s="89"/>
      <c r="V147" s="79"/>
    </row>
    <row r="148" spans="1:22" ht="28.5" customHeight="1" x14ac:dyDescent="0.2">
      <c r="A148" s="276"/>
      <c r="B148" s="278" t="s">
        <v>293</v>
      </c>
      <c r="C148" s="277"/>
      <c r="D148" s="747" t="s">
        <v>166</v>
      </c>
      <c r="E148" s="748"/>
      <c r="F148" s="748"/>
      <c r="G148" s="748"/>
      <c r="H148" s="748"/>
      <c r="I148" s="279"/>
      <c r="J148" s="280" t="s">
        <v>18</v>
      </c>
      <c r="K148" s="88"/>
      <c r="L148" s="156">
        <f>SUM(L155:L160)</f>
        <v>0</v>
      </c>
      <c r="M148" s="246"/>
      <c r="N148" s="147">
        <f>IF(L148=0,0%,L148/L$8)</f>
        <v>0</v>
      </c>
      <c r="O148" s="495">
        <f>IF(LEN(R148)&gt;3,1,0)</f>
        <v>0</v>
      </c>
      <c r="R148" s="79" t="str">
        <f>IF(AND(R154="NOT",S154="NOT",T154="NOT"),"NOT",D148)</f>
        <v>NOT</v>
      </c>
    </row>
    <row r="149" spans="1:22" s="76" customFormat="1" ht="3" customHeight="1" x14ac:dyDescent="0.2">
      <c r="A149" s="87"/>
      <c r="B149" s="788"/>
      <c r="C149" s="789"/>
      <c r="D149" s="789"/>
      <c r="E149" s="789"/>
      <c r="F149" s="789"/>
      <c r="G149" s="789"/>
      <c r="H149" s="789"/>
      <c r="I149" s="789"/>
      <c r="J149" s="789"/>
      <c r="K149" s="789"/>
      <c r="L149" s="789"/>
      <c r="M149" s="70"/>
      <c r="N149" s="70"/>
      <c r="O149" s="353"/>
      <c r="P149" s="270"/>
      <c r="Q149" s="231" t="str">
        <f>IF(N148&gt;O149,B149,"")</f>
        <v/>
      </c>
      <c r="V149" s="79"/>
    </row>
    <row r="150" spans="1:22" x14ac:dyDescent="0.2">
      <c r="B150" s="742" t="s">
        <v>197</v>
      </c>
      <c r="C150" s="743"/>
      <c r="D150" s="743"/>
      <c r="E150" s="743"/>
      <c r="F150" s="743"/>
      <c r="H150" s="81"/>
      <c r="J150" s="81"/>
      <c r="K150" s="88"/>
      <c r="L150" s="81"/>
      <c r="N150" s="227"/>
      <c r="R150" s="79" t="str">
        <f>IF(AND(($L148&gt;0),ISBLANK(B152)),B150,"NOT")</f>
        <v>NOT</v>
      </c>
    </row>
    <row r="151" spans="1:22" ht="3" customHeight="1" x14ac:dyDescent="0.2">
      <c r="B151" s="104"/>
      <c r="C151" s="88"/>
      <c r="D151" s="81"/>
      <c r="F151" s="81"/>
      <c r="H151" s="81"/>
      <c r="J151" s="81"/>
      <c r="K151" s="88"/>
      <c r="L151" s="81"/>
      <c r="N151" s="227"/>
    </row>
    <row r="152" spans="1:22" ht="60" customHeight="1" x14ac:dyDescent="0.2">
      <c r="B152" s="744"/>
      <c r="C152" s="745"/>
      <c r="D152" s="745"/>
      <c r="E152" s="745"/>
      <c r="F152" s="745"/>
      <c r="G152" s="745"/>
      <c r="H152" s="745"/>
      <c r="I152" s="745"/>
      <c r="J152" s="745"/>
      <c r="K152" s="745"/>
      <c r="L152" s="746"/>
      <c r="M152" s="70" t="s">
        <v>19</v>
      </c>
      <c r="N152" s="227"/>
    </row>
    <row r="153" spans="1:22" ht="3.75" customHeight="1" x14ac:dyDescent="0.2">
      <c r="B153" s="104"/>
      <c r="C153" s="88"/>
      <c r="D153" s="81"/>
      <c r="F153" s="81"/>
      <c r="H153" s="81"/>
      <c r="J153" s="81"/>
      <c r="K153" s="88"/>
      <c r="L153" s="81"/>
      <c r="N153" s="227"/>
    </row>
    <row r="154" spans="1:22" ht="25.5" x14ac:dyDescent="0.2">
      <c r="B154" s="244" t="s">
        <v>202</v>
      </c>
      <c r="C154" s="88"/>
      <c r="D154" s="244" t="s">
        <v>580</v>
      </c>
      <c r="F154" s="244" t="s">
        <v>205</v>
      </c>
      <c r="H154" s="244" t="s">
        <v>16</v>
      </c>
      <c r="J154" s="244" t="s">
        <v>15</v>
      </c>
      <c r="K154" s="245"/>
      <c r="L154" s="103" t="s">
        <v>141</v>
      </c>
      <c r="N154" s="81"/>
      <c r="R154" s="255" t="str">
        <f>IF(AND(R155="NOT",R156="NOT",R157="NOT",R158="NOT",R159="NOT",R160="NOT",R150="NOT"),"NOT",D148)</f>
        <v>NOT</v>
      </c>
      <c r="S154" s="255" t="str">
        <f>IF(AND(S155="NOT",S156="NOT",S157="NOT",S158="NOT",S159="NOT",S160="NOT",R150="NOT"),"NOT",D148)</f>
        <v>NOT</v>
      </c>
      <c r="T154" s="255" t="str">
        <f>IF(AND(T155="NOT",T156="NOT",T157="NOT",T158="NOT",T159="NOT",T160="NOT",R150="NOT"),"NOT",D148)</f>
        <v>NOT</v>
      </c>
    </row>
    <row r="155" spans="1:22" x14ac:dyDescent="0.2">
      <c r="B155" s="259"/>
      <c r="C155" s="88"/>
      <c r="D155" s="260"/>
      <c r="E155" s="243"/>
      <c r="F155" s="261"/>
      <c r="G155" s="243"/>
      <c r="H155" s="262"/>
      <c r="I155" s="243"/>
      <c r="J155" s="262"/>
      <c r="K155" s="88"/>
      <c r="L155" s="143">
        <f t="shared" ref="L155:L160" si="28">TRUNC(H155*J155,2)</f>
        <v>0</v>
      </c>
      <c r="N155" s="81"/>
      <c r="R155" s="79" t="str">
        <f t="shared" ref="R155:R160" si="29">IF(AND(($L155&gt;0),ISBLANK(B155)),B155,"NOT")</f>
        <v>NOT</v>
      </c>
      <c r="S155" s="79" t="str">
        <f t="shared" ref="S155:S160" si="30">IF(AND(($L155&gt;0),ISBLANK(D155)),D155,"NOT")</f>
        <v>NOT</v>
      </c>
      <c r="T155" s="79" t="str">
        <f t="shared" ref="T155:T160" si="31">IF(AND(($L155&gt;0),ISBLANK(F155)),F155,"NOT")</f>
        <v>NOT</v>
      </c>
      <c r="V155" s="79" t="str">
        <f t="shared" si="27"/>
        <v/>
      </c>
    </row>
    <row r="156" spans="1:22" x14ac:dyDescent="0.2">
      <c r="B156" s="259"/>
      <c r="C156" s="88"/>
      <c r="D156" s="260"/>
      <c r="E156" s="243"/>
      <c r="F156" s="261"/>
      <c r="G156" s="243"/>
      <c r="H156" s="262"/>
      <c r="I156" s="243"/>
      <c r="J156" s="262"/>
      <c r="K156" s="88"/>
      <c r="L156" s="143">
        <f t="shared" si="28"/>
        <v>0</v>
      </c>
      <c r="N156" s="81"/>
      <c r="R156" s="79" t="str">
        <f t="shared" si="29"/>
        <v>NOT</v>
      </c>
      <c r="S156" s="79" t="str">
        <f t="shared" si="30"/>
        <v>NOT</v>
      </c>
      <c r="T156" s="79" t="str">
        <f t="shared" si="31"/>
        <v>NOT</v>
      </c>
      <c r="V156" s="79" t="str">
        <f t="shared" si="27"/>
        <v/>
      </c>
    </row>
    <row r="157" spans="1:22" x14ac:dyDescent="0.2">
      <c r="B157" s="259"/>
      <c r="C157" s="88"/>
      <c r="D157" s="260"/>
      <c r="E157" s="243"/>
      <c r="F157" s="261"/>
      <c r="G157" s="243"/>
      <c r="H157" s="262"/>
      <c r="I157" s="243"/>
      <c r="J157" s="262"/>
      <c r="K157" s="88"/>
      <c r="L157" s="143">
        <f t="shared" si="28"/>
        <v>0</v>
      </c>
      <c r="N157" s="81"/>
      <c r="R157" s="79" t="str">
        <f t="shared" si="29"/>
        <v>NOT</v>
      </c>
      <c r="S157" s="79" t="str">
        <f t="shared" si="30"/>
        <v>NOT</v>
      </c>
      <c r="T157" s="79" t="str">
        <f t="shared" si="31"/>
        <v>NOT</v>
      </c>
      <c r="V157" s="79" t="str">
        <f t="shared" si="27"/>
        <v/>
      </c>
    </row>
    <row r="158" spans="1:22" x14ac:dyDescent="0.2">
      <c r="B158" s="259"/>
      <c r="C158" s="88"/>
      <c r="D158" s="260"/>
      <c r="E158" s="243"/>
      <c r="F158" s="261"/>
      <c r="G158" s="243"/>
      <c r="H158" s="262"/>
      <c r="I158" s="243"/>
      <c r="J158" s="262"/>
      <c r="K158" s="88"/>
      <c r="L158" s="143">
        <f t="shared" si="28"/>
        <v>0</v>
      </c>
      <c r="N158" s="81"/>
      <c r="R158" s="79" t="str">
        <f t="shared" si="29"/>
        <v>NOT</v>
      </c>
      <c r="S158" s="79" t="str">
        <f t="shared" si="30"/>
        <v>NOT</v>
      </c>
      <c r="T158" s="79" t="str">
        <f t="shared" si="31"/>
        <v>NOT</v>
      </c>
      <c r="V158" s="79" t="str">
        <f t="shared" si="27"/>
        <v/>
      </c>
    </row>
    <row r="159" spans="1:22" x14ac:dyDescent="0.2">
      <c r="B159" s="259"/>
      <c r="C159" s="88"/>
      <c r="D159" s="260"/>
      <c r="E159" s="243"/>
      <c r="F159" s="261"/>
      <c r="G159" s="243"/>
      <c r="H159" s="262"/>
      <c r="I159" s="243"/>
      <c r="J159" s="262"/>
      <c r="K159" s="88"/>
      <c r="L159" s="143">
        <f t="shared" si="28"/>
        <v>0</v>
      </c>
      <c r="N159" s="81"/>
      <c r="R159" s="79" t="str">
        <f t="shared" si="29"/>
        <v>NOT</v>
      </c>
      <c r="S159" s="79" t="str">
        <f t="shared" si="30"/>
        <v>NOT</v>
      </c>
      <c r="T159" s="79" t="str">
        <f t="shared" si="31"/>
        <v>NOT</v>
      </c>
      <c r="V159" s="79" t="str">
        <f t="shared" si="27"/>
        <v/>
      </c>
    </row>
    <row r="160" spans="1:22" x14ac:dyDescent="0.2">
      <c r="B160" s="259"/>
      <c r="C160" s="88"/>
      <c r="D160" s="260"/>
      <c r="E160" s="243"/>
      <c r="F160" s="261"/>
      <c r="G160" s="243"/>
      <c r="H160" s="262"/>
      <c r="I160" s="243"/>
      <c r="J160" s="262"/>
      <c r="K160" s="88"/>
      <c r="L160" s="143">
        <f t="shared" si="28"/>
        <v>0</v>
      </c>
      <c r="N160" s="81"/>
      <c r="R160" s="79" t="str">
        <f t="shared" si="29"/>
        <v>NOT</v>
      </c>
      <c r="S160" s="79" t="str">
        <f t="shared" si="30"/>
        <v>NOT</v>
      </c>
      <c r="T160" s="79" t="str">
        <f t="shared" si="31"/>
        <v>NOT</v>
      </c>
      <c r="V160" s="79" t="str">
        <f t="shared" si="27"/>
        <v/>
      </c>
    </row>
    <row r="161" spans="1:22" s="76" customFormat="1" ht="12.75" customHeight="1" x14ac:dyDescent="0.2">
      <c r="A161" s="87"/>
      <c r="B161" s="88"/>
      <c r="C161" s="88"/>
      <c r="D161" s="70"/>
      <c r="E161" s="70"/>
      <c r="F161" s="70"/>
      <c r="G161" s="70"/>
      <c r="H161" s="70"/>
      <c r="I161" s="70"/>
      <c r="J161" s="70"/>
      <c r="K161" s="88"/>
      <c r="L161" s="70"/>
      <c r="M161" s="70"/>
      <c r="N161" s="70"/>
      <c r="O161" s="89"/>
      <c r="V161" s="79"/>
    </row>
    <row r="162" spans="1:22" ht="28.5" customHeight="1" x14ac:dyDescent="0.2">
      <c r="A162" s="276"/>
      <c r="B162" s="278" t="s">
        <v>294</v>
      </c>
      <c r="C162" s="277"/>
      <c r="D162" s="747" t="s">
        <v>166</v>
      </c>
      <c r="E162" s="748"/>
      <c r="F162" s="748"/>
      <c r="G162" s="748"/>
      <c r="H162" s="748"/>
      <c r="I162" s="279"/>
      <c r="J162" s="280" t="s">
        <v>18</v>
      </c>
      <c r="K162" s="88"/>
      <c r="L162" s="156">
        <f>SUM(L169:L172)</f>
        <v>0</v>
      </c>
      <c r="M162" s="246"/>
      <c r="N162" s="147">
        <f>IF(L162=0,0%,L162/L$8)</f>
        <v>0</v>
      </c>
      <c r="O162" s="495">
        <f>IF(LEN(R162)&gt;3,1,0)</f>
        <v>0</v>
      </c>
      <c r="R162" s="79" t="str">
        <f>IF(AND(R168="NOT",S168="NOT",T168="NOT"),"NOT",D162)</f>
        <v>NOT</v>
      </c>
    </row>
    <row r="163" spans="1:22" s="76" customFormat="1" ht="3" customHeight="1" x14ac:dyDescent="0.2">
      <c r="A163" s="87"/>
      <c r="B163" s="88"/>
      <c r="C163" s="88"/>
      <c r="D163" s="70"/>
      <c r="E163" s="70"/>
      <c r="F163" s="70"/>
      <c r="G163" s="70"/>
      <c r="H163" s="70"/>
      <c r="I163" s="70"/>
      <c r="J163" s="70"/>
      <c r="K163" s="88"/>
      <c r="L163" s="70"/>
      <c r="M163" s="70"/>
      <c r="N163" s="70"/>
      <c r="O163" s="89"/>
      <c r="V163" s="79"/>
    </row>
    <row r="164" spans="1:22" x14ac:dyDescent="0.2">
      <c r="B164" s="742" t="s">
        <v>197</v>
      </c>
      <c r="C164" s="743"/>
      <c r="D164" s="743"/>
      <c r="E164" s="743"/>
      <c r="F164" s="743"/>
      <c r="H164" s="81"/>
      <c r="J164" s="81"/>
      <c r="K164" s="88"/>
      <c r="L164" s="81"/>
      <c r="N164" s="227"/>
      <c r="R164" s="79" t="str">
        <f>IF(AND(($L162&gt;0),ISBLANK(B166)),B164,"NOT")</f>
        <v>NOT</v>
      </c>
    </row>
    <row r="165" spans="1:22" ht="3" customHeight="1" x14ac:dyDescent="0.2">
      <c r="B165" s="104"/>
      <c r="C165" s="88"/>
      <c r="D165" s="81"/>
      <c r="F165" s="81"/>
      <c r="H165" s="81"/>
      <c r="J165" s="81"/>
      <c r="K165" s="88"/>
      <c r="L165" s="81"/>
      <c r="N165" s="227"/>
    </row>
    <row r="166" spans="1:22" ht="50.25" customHeight="1" x14ac:dyDescent="0.2">
      <c r="B166" s="744"/>
      <c r="C166" s="745"/>
      <c r="D166" s="745"/>
      <c r="E166" s="745"/>
      <c r="F166" s="745"/>
      <c r="G166" s="745"/>
      <c r="H166" s="745"/>
      <c r="I166" s="745"/>
      <c r="J166" s="745"/>
      <c r="K166" s="745"/>
      <c r="L166" s="746"/>
      <c r="M166" s="70" t="s">
        <v>19</v>
      </c>
      <c r="N166" s="227"/>
    </row>
    <row r="167" spans="1:22" ht="3.75" customHeight="1" x14ac:dyDescent="0.2">
      <c r="B167" s="104"/>
      <c r="C167" s="88"/>
      <c r="D167" s="81"/>
      <c r="F167" s="81"/>
      <c r="H167" s="81"/>
      <c r="J167" s="81"/>
      <c r="K167" s="88"/>
      <c r="L167" s="81"/>
      <c r="N167" s="227"/>
    </row>
    <row r="168" spans="1:22" ht="12.75" customHeight="1" x14ac:dyDescent="0.2">
      <c r="B168" s="244" t="s">
        <v>17</v>
      </c>
      <c r="C168" s="88"/>
      <c r="D168" s="244" t="s">
        <v>580</v>
      </c>
      <c r="F168" s="244" t="s">
        <v>205</v>
      </c>
      <c r="H168" s="244" t="s">
        <v>16</v>
      </c>
      <c r="J168" s="244" t="s">
        <v>15</v>
      </c>
      <c r="K168" s="245"/>
      <c r="L168" s="103" t="s">
        <v>141</v>
      </c>
      <c r="N168" s="81"/>
      <c r="R168" s="255" t="str">
        <f>IF(AND(R169="NOT",R170="NOT",R171="NOT",R172="NOT",R164="NOT"),"NOT",D162)</f>
        <v>NOT</v>
      </c>
      <c r="S168" s="255" t="str">
        <f>IF(AND(S169="NOT",S170="NOT",S171="NOT",S172="NOT",R164="NOT"),"NOT",D162)</f>
        <v>NOT</v>
      </c>
      <c r="T168" s="255" t="str">
        <f>IF(AND(T169="NOT",T170="NOT",T171="NOT",T172="NOT",R164="NOT"),"NOT",D162)</f>
        <v>NOT</v>
      </c>
    </row>
    <row r="169" spans="1:22" x14ac:dyDescent="0.2">
      <c r="B169" s="259"/>
      <c r="C169" s="88"/>
      <c r="D169" s="260"/>
      <c r="E169" s="243"/>
      <c r="F169" s="261"/>
      <c r="G169" s="243"/>
      <c r="H169" s="262"/>
      <c r="I169" s="243"/>
      <c r="J169" s="262"/>
      <c r="K169" s="88"/>
      <c r="L169" s="143">
        <f>TRUNC(H169*J169,2)</f>
        <v>0</v>
      </c>
      <c r="N169" s="81"/>
      <c r="R169" s="79" t="str">
        <f>IF(AND(($L169&gt;0),ISBLANK(B169)),B169,"NOT")</f>
        <v>NOT</v>
      </c>
      <c r="S169" s="79" t="str">
        <f>IF(AND(($L169&gt;0),ISBLANK(D169)),D169,"NOT")</f>
        <v>NOT</v>
      </c>
      <c r="T169" s="79" t="str">
        <f>IF(AND(($L169&gt;0),ISBLANK(F169)),F169,"NOT")</f>
        <v>NOT</v>
      </c>
      <c r="V169" s="79" t="str">
        <f>LEFT(D169,3)</f>
        <v/>
      </c>
    </row>
    <row r="170" spans="1:22" x14ac:dyDescent="0.2">
      <c r="B170" s="259"/>
      <c r="C170" s="88"/>
      <c r="D170" s="260"/>
      <c r="E170" s="243"/>
      <c r="F170" s="261"/>
      <c r="G170" s="243"/>
      <c r="H170" s="262"/>
      <c r="I170" s="243"/>
      <c r="J170" s="262"/>
      <c r="K170" s="88"/>
      <c r="L170" s="143">
        <f>TRUNC(H170*J170,2)</f>
        <v>0</v>
      </c>
      <c r="N170" s="81"/>
      <c r="R170" s="79" t="str">
        <f>IF(AND(($L170&gt;0),ISBLANK(B170)),B170,"NOT")</f>
        <v>NOT</v>
      </c>
      <c r="S170" s="79" t="str">
        <f>IF(AND(($L170&gt;0),ISBLANK(D170)),D170,"NOT")</f>
        <v>NOT</v>
      </c>
      <c r="T170" s="79" t="str">
        <f>IF(AND(($L170&gt;0),ISBLANK(F170)),F170,"NOT")</f>
        <v>NOT</v>
      </c>
      <c r="V170" s="79" t="str">
        <f>LEFT(D170,3)</f>
        <v/>
      </c>
    </row>
    <row r="171" spans="1:22" x14ac:dyDescent="0.2">
      <c r="B171" s="259"/>
      <c r="C171" s="88"/>
      <c r="D171" s="260"/>
      <c r="E171" s="243"/>
      <c r="F171" s="261"/>
      <c r="G171" s="243"/>
      <c r="H171" s="262"/>
      <c r="I171" s="243"/>
      <c r="J171" s="262"/>
      <c r="K171" s="88"/>
      <c r="L171" s="143">
        <f>TRUNC(H171*J171,2)</f>
        <v>0</v>
      </c>
      <c r="N171" s="81"/>
      <c r="R171" s="79" t="str">
        <f>IF(AND(($L171&gt;0),ISBLANK(B171)),B171,"NOT")</f>
        <v>NOT</v>
      </c>
      <c r="S171" s="79" t="str">
        <f>IF(AND(($L171&gt;0),ISBLANK(D171)),D171,"NOT")</f>
        <v>NOT</v>
      </c>
      <c r="T171" s="79" t="str">
        <f>IF(AND(($L171&gt;0),ISBLANK(F171)),F171,"NOT")</f>
        <v>NOT</v>
      </c>
      <c r="V171" s="79" t="str">
        <f>LEFT(D171,3)</f>
        <v/>
      </c>
    </row>
    <row r="172" spans="1:22" x14ac:dyDescent="0.2">
      <c r="B172" s="259"/>
      <c r="C172" s="88"/>
      <c r="D172" s="260"/>
      <c r="E172" s="243"/>
      <c r="F172" s="261"/>
      <c r="G172" s="243"/>
      <c r="H172" s="262"/>
      <c r="I172" s="243"/>
      <c r="J172" s="262"/>
      <c r="K172" s="88"/>
      <c r="L172" s="143">
        <f>TRUNC(H172*J172,2)</f>
        <v>0</v>
      </c>
      <c r="N172" s="81"/>
      <c r="R172" s="79" t="str">
        <f>IF(AND(($L172&gt;0),ISBLANK(B172)),B172,"NOT")</f>
        <v>NOT</v>
      </c>
      <c r="S172" s="79" t="str">
        <f>IF(AND(($L172&gt;0),ISBLANK(D172)),D172,"NOT")</f>
        <v>NOT</v>
      </c>
      <c r="T172" s="79" t="str">
        <f>IF(AND(($L172&gt;0),ISBLANK(F172)),F172,"NOT")</f>
        <v>NOT</v>
      </c>
      <c r="V172" s="79" t="str">
        <f>LEFT(D172,3)</f>
        <v/>
      </c>
    </row>
    <row r="173" spans="1:22" s="76" customFormat="1" ht="12.75" customHeight="1" x14ac:dyDescent="0.2">
      <c r="A173" s="87"/>
      <c r="B173" s="88"/>
      <c r="C173" s="88"/>
      <c r="D173" s="70"/>
      <c r="E173" s="70"/>
      <c r="F173" s="70"/>
      <c r="G173" s="70"/>
      <c r="H173" s="70"/>
      <c r="I173" s="70"/>
      <c r="J173" s="70"/>
      <c r="K173" s="88"/>
      <c r="L173" s="70"/>
      <c r="M173" s="70"/>
      <c r="N173" s="70"/>
      <c r="O173" s="89"/>
      <c r="V173" s="79"/>
    </row>
    <row r="174" spans="1:22" ht="25.5" x14ac:dyDescent="0.2">
      <c r="A174" s="276"/>
      <c r="B174" s="278" t="s">
        <v>296</v>
      </c>
      <c r="C174" s="277"/>
      <c r="D174" s="747" t="s">
        <v>166</v>
      </c>
      <c r="E174" s="748"/>
      <c r="F174" s="748"/>
      <c r="G174" s="748"/>
      <c r="H174" s="748"/>
      <c r="I174" s="279"/>
      <c r="J174" s="280" t="s">
        <v>18</v>
      </c>
      <c r="K174" s="88"/>
      <c r="L174" s="156">
        <f>SUM(L181:L190)</f>
        <v>0</v>
      </c>
      <c r="M174" s="246"/>
      <c r="N174" s="147">
        <f>IF(L174=0,0%,L174/L$8)</f>
        <v>0</v>
      </c>
      <c r="O174" s="495">
        <f>IF(LEN(R174)&gt;3,1,0)</f>
        <v>0</v>
      </c>
      <c r="R174" s="79" t="str">
        <f>IF(AND(R180="NOT",S180="NOT",T180="NOT"),"NOT",D174)</f>
        <v>NOT</v>
      </c>
    </row>
    <row r="175" spans="1:22" s="76" customFormat="1" ht="3" customHeight="1" x14ac:dyDescent="0.2">
      <c r="A175" s="87"/>
      <c r="B175" s="88"/>
      <c r="C175" s="88"/>
      <c r="D175" s="70"/>
      <c r="E175" s="70"/>
      <c r="F175" s="70"/>
      <c r="G175" s="70"/>
      <c r="H175" s="70"/>
      <c r="I175" s="70"/>
      <c r="J175" s="70"/>
      <c r="K175" s="88"/>
      <c r="L175" s="70"/>
      <c r="M175" s="70"/>
      <c r="N175" s="70"/>
      <c r="O175" s="89"/>
      <c r="V175" s="79"/>
    </row>
    <row r="176" spans="1:22" ht="27.75" customHeight="1" x14ac:dyDescent="0.2">
      <c r="B176" s="749" t="s">
        <v>38</v>
      </c>
      <c r="C176" s="750"/>
      <c r="D176" s="750"/>
      <c r="E176" s="750"/>
      <c r="F176" s="750"/>
      <c r="H176" s="81"/>
      <c r="J176" s="81"/>
      <c r="K176" s="88"/>
      <c r="L176" s="81"/>
      <c r="N176" s="227"/>
      <c r="R176" s="79" t="str">
        <f>IF(AND(($L174&gt;0),ISBLANK(B178)),B176,"NOT")</f>
        <v>NOT</v>
      </c>
    </row>
    <row r="177" spans="1:22" ht="3" customHeight="1" x14ac:dyDescent="0.2">
      <c r="B177" s="104"/>
      <c r="C177" s="88"/>
      <c r="D177" s="81"/>
      <c r="F177" s="81"/>
      <c r="H177" s="81"/>
      <c r="J177" s="81"/>
      <c r="K177" s="88"/>
      <c r="L177" s="81"/>
      <c r="N177" s="227"/>
    </row>
    <row r="178" spans="1:22" ht="81" customHeight="1" x14ac:dyDescent="0.2">
      <c r="B178" s="744"/>
      <c r="C178" s="745"/>
      <c r="D178" s="745"/>
      <c r="E178" s="745"/>
      <c r="F178" s="745"/>
      <c r="G178" s="745"/>
      <c r="H178" s="745"/>
      <c r="I178" s="745"/>
      <c r="J178" s="745"/>
      <c r="K178" s="745"/>
      <c r="L178" s="746"/>
      <c r="M178" s="70" t="s">
        <v>19</v>
      </c>
      <c r="N178" s="227"/>
    </row>
    <row r="179" spans="1:22" ht="3.75" customHeight="1" x14ac:dyDescent="0.2">
      <c r="B179" s="104"/>
      <c r="C179" s="88"/>
      <c r="D179" s="81"/>
      <c r="F179" s="81"/>
      <c r="H179" s="81"/>
      <c r="J179" s="81"/>
      <c r="K179" s="88"/>
      <c r="L179" s="81"/>
      <c r="N179" s="227"/>
    </row>
    <row r="180" spans="1:22" ht="38.25" x14ac:dyDescent="0.2">
      <c r="B180" s="244" t="s">
        <v>23</v>
      </c>
      <c r="C180" s="88"/>
      <c r="D180" s="244" t="s">
        <v>580</v>
      </c>
      <c r="F180" s="244" t="s">
        <v>205</v>
      </c>
      <c r="H180" s="244" t="s">
        <v>16</v>
      </c>
      <c r="J180" s="244" t="s">
        <v>15</v>
      </c>
      <c r="K180" s="245"/>
      <c r="L180" s="103" t="s">
        <v>141</v>
      </c>
      <c r="N180" s="81"/>
      <c r="R180" s="255" t="str">
        <f>IF(AND(R181="NOT",R182="NOT",R183="NOT",R184="NOT",R185="NOT",R186="NOT",R187="NOT",R188="NOT",R189="NOT",R190="NOT",R176="NOT"),"NOT",D174)</f>
        <v>NOT</v>
      </c>
      <c r="S180" s="255" t="str">
        <f>IF(AND(S181="NOT",S182="NOT",S183="NOT",S184="NOT",S185="NOT",S186="NOT",S187="NOT",S188="NOT",S189="NOT",S190="NOT",R176="NOT"),"NOT",D174)</f>
        <v>NOT</v>
      </c>
      <c r="T180" s="255" t="str">
        <f>IF(AND(T181="NOT",T182="NOT",T183="NOT",T184="NOT",T185="NOT",T186="NOT",T187="NOT",T188="NOT",T189="NOT",T190="NOT",R176="NOT"),"NOT",D174)</f>
        <v>NOT</v>
      </c>
    </row>
    <row r="181" spans="1:22" x14ac:dyDescent="0.2">
      <c r="B181" s="259"/>
      <c r="C181" s="88"/>
      <c r="D181" s="260"/>
      <c r="E181" s="243"/>
      <c r="F181" s="261"/>
      <c r="G181" s="243"/>
      <c r="H181" s="262"/>
      <c r="I181" s="243"/>
      <c r="J181" s="262"/>
      <c r="K181" s="88"/>
      <c r="L181" s="143">
        <f t="shared" ref="L181:L190" si="32">TRUNC(H181*J181,2)</f>
        <v>0</v>
      </c>
      <c r="N181" s="81"/>
      <c r="R181" s="79" t="str">
        <f t="shared" ref="R181:R190" si="33">IF(AND(($L181&gt;0),ISBLANK(B181)),B181,"NOT")</f>
        <v>NOT</v>
      </c>
      <c r="S181" s="79" t="str">
        <f t="shared" ref="S181:S190" si="34">IF(AND(($L181&gt;0),ISBLANK(D181)),D181,"NOT")</f>
        <v>NOT</v>
      </c>
      <c r="T181" s="79" t="str">
        <f t="shared" ref="T181:T190" si="35">IF(AND(($L181&gt;0),ISBLANK(F181)),F181,"NOT")</f>
        <v>NOT</v>
      </c>
      <c r="V181" s="79" t="str">
        <f t="shared" ref="V181:V190" si="36">LEFT(D181,3)</f>
        <v/>
      </c>
    </row>
    <row r="182" spans="1:22" x14ac:dyDescent="0.2">
      <c r="B182" s="259"/>
      <c r="C182" s="88"/>
      <c r="D182" s="260"/>
      <c r="E182" s="243"/>
      <c r="F182" s="261"/>
      <c r="G182" s="243"/>
      <c r="H182" s="262"/>
      <c r="I182" s="243"/>
      <c r="J182" s="262"/>
      <c r="K182" s="88"/>
      <c r="L182" s="143">
        <f t="shared" si="32"/>
        <v>0</v>
      </c>
      <c r="N182" s="81"/>
      <c r="R182" s="79" t="str">
        <f t="shared" si="33"/>
        <v>NOT</v>
      </c>
      <c r="S182" s="79" t="str">
        <f t="shared" si="34"/>
        <v>NOT</v>
      </c>
      <c r="T182" s="79" t="str">
        <f t="shared" si="35"/>
        <v>NOT</v>
      </c>
      <c r="V182" s="79" t="str">
        <f t="shared" si="36"/>
        <v/>
      </c>
    </row>
    <row r="183" spans="1:22" x14ac:dyDescent="0.2">
      <c r="B183" s="259"/>
      <c r="C183" s="88"/>
      <c r="D183" s="260"/>
      <c r="E183" s="243"/>
      <c r="F183" s="261"/>
      <c r="G183" s="243"/>
      <c r="H183" s="262"/>
      <c r="I183" s="243"/>
      <c r="J183" s="262"/>
      <c r="K183" s="88"/>
      <c r="L183" s="143">
        <f t="shared" si="32"/>
        <v>0</v>
      </c>
      <c r="N183" s="81"/>
      <c r="R183" s="79" t="str">
        <f t="shared" si="33"/>
        <v>NOT</v>
      </c>
      <c r="S183" s="79" t="str">
        <f t="shared" si="34"/>
        <v>NOT</v>
      </c>
      <c r="T183" s="79" t="str">
        <f t="shared" si="35"/>
        <v>NOT</v>
      </c>
      <c r="V183" s="79" t="str">
        <f t="shared" si="36"/>
        <v/>
      </c>
    </row>
    <row r="184" spans="1:22" x14ac:dyDescent="0.2">
      <c r="B184" s="259"/>
      <c r="C184" s="88"/>
      <c r="D184" s="260"/>
      <c r="E184" s="243"/>
      <c r="F184" s="261"/>
      <c r="G184" s="243"/>
      <c r="H184" s="262"/>
      <c r="I184" s="243"/>
      <c r="J184" s="262"/>
      <c r="K184" s="88"/>
      <c r="L184" s="143">
        <f t="shared" si="32"/>
        <v>0</v>
      </c>
      <c r="N184" s="81"/>
      <c r="R184" s="79" t="str">
        <f t="shared" si="33"/>
        <v>NOT</v>
      </c>
      <c r="S184" s="79" t="str">
        <f t="shared" si="34"/>
        <v>NOT</v>
      </c>
      <c r="T184" s="79" t="str">
        <f t="shared" si="35"/>
        <v>NOT</v>
      </c>
      <c r="V184" s="79" t="str">
        <f t="shared" si="36"/>
        <v/>
      </c>
    </row>
    <row r="185" spans="1:22" x14ac:dyDescent="0.2">
      <c r="B185" s="259"/>
      <c r="C185" s="88"/>
      <c r="D185" s="260"/>
      <c r="E185" s="243"/>
      <c r="F185" s="261"/>
      <c r="G185" s="243"/>
      <c r="H185" s="262"/>
      <c r="I185" s="243"/>
      <c r="J185" s="262"/>
      <c r="K185" s="88"/>
      <c r="L185" s="143">
        <f t="shared" si="32"/>
        <v>0</v>
      </c>
      <c r="N185" s="81"/>
      <c r="R185" s="79" t="str">
        <f t="shared" si="33"/>
        <v>NOT</v>
      </c>
      <c r="S185" s="79" t="str">
        <f t="shared" si="34"/>
        <v>NOT</v>
      </c>
      <c r="T185" s="79" t="str">
        <f t="shared" si="35"/>
        <v>NOT</v>
      </c>
      <c r="V185" s="79" t="str">
        <f t="shared" si="36"/>
        <v/>
      </c>
    </row>
    <row r="186" spans="1:22" x14ac:dyDescent="0.2">
      <c r="B186" s="259"/>
      <c r="C186" s="88"/>
      <c r="D186" s="260"/>
      <c r="E186" s="243"/>
      <c r="F186" s="261"/>
      <c r="G186" s="243"/>
      <c r="H186" s="262"/>
      <c r="I186" s="243"/>
      <c r="J186" s="262"/>
      <c r="K186" s="88"/>
      <c r="L186" s="143">
        <f t="shared" si="32"/>
        <v>0</v>
      </c>
      <c r="N186" s="81"/>
      <c r="R186" s="79" t="str">
        <f t="shared" si="33"/>
        <v>NOT</v>
      </c>
      <c r="S186" s="79" t="str">
        <f t="shared" si="34"/>
        <v>NOT</v>
      </c>
      <c r="T186" s="79" t="str">
        <f t="shared" si="35"/>
        <v>NOT</v>
      </c>
      <c r="V186" s="79" t="str">
        <f t="shared" si="36"/>
        <v/>
      </c>
    </row>
    <row r="187" spans="1:22" x14ac:dyDescent="0.2">
      <c r="B187" s="259"/>
      <c r="C187" s="88"/>
      <c r="D187" s="260"/>
      <c r="E187" s="243"/>
      <c r="F187" s="261"/>
      <c r="G187" s="243"/>
      <c r="H187" s="262"/>
      <c r="I187" s="243"/>
      <c r="J187" s="262"/>
      <c r="K187" s="88"/>
      <c r="L187" s="143">
        <f t="shared" si="32"/>
        <v>0</v>
      </c>
      <c r="N187" s="81"/>
      <c r="R187" s="79" t="str">
        <f t="shared" si="33"/>
        <v>NOT</v>
      </c>
      <c r="S187" s="79" t="str">
        <f t="shared" si="34"/>
        <v>NOT</v>
      </c>
      <c r="T187" s="79" t="str">
        <f t="shared" si="35"/>
        <v>NOT</v>
      </c>
      <c r="V187" s="79" t="str">
        <f t="shared" si="36"/>
        <v/>
      </c>
    </row>
    <row r="188" spans="1:22" x14ac:dyDescent="0.2">
      <c r="B188" s="259"/>
      <c r="C188" s="88"/>
      <c r="D188" s="260"/>
      <c r="E188" s="243"/>
      <c r="F188" s="261"/>
      <c r="G188" s="243"/>
      <c r="H188" s="262"/>
      <c r="I188" s="243"/>
      <c r="J188" s="262"/>
      <c r="K188" s="88"/>
      <c r="L188" s="143">
        <f t="shared" si="32"/>
        <v>0</v>
      </c>
      <c r="N188" s="81"/>
      <c r="R188" s="79" t="str">
        <f t="shared" si="33"/>
        <v>NOT</v>
      </c>
      <c r="S188" s="79" t="str">
        <f t="shared" si="34"/>
        <v>NOT</v>
      </c>
      <c r="T188" s="79" t="str">
        <f t="shared" si="35"/>
        <v>NOT</v>
      </c>
      <c r="V188" s="79" t="str">
        <f t="shared" si="36"/>
        <v/>
      </c>
    </row>
    <row r="189" spans="1:22" x14ac:dyDescent="0.2">
      <c r="B189" s="259"/>
      <c r="C189" s="88"/>
      <c r="D189" s="260"/>
      <c r="E189" s="243"/>
      <c r="F189" s="261"/>
      <c r="G189" s="243"/>
      <c r="H189" s="262"/>
      <c r="I189" s="243"/>
      <c r="J189" s="262"/>
      <c r="K189" s="88"/>
      <c r="L189" s="143">
        <f t="shared" si="32"/>
        <v>0</v>
      </c>
      <c r="N189" s="81"/>
      <c r="R189" s="79" t="str">
        <f t="shared" si="33"/>
        <v>NOT</v>
      </c>
      <c r="S189" s="79" t="str">
        <f t="shared" si="34"/>
        <v>NOT</v>
      </c>
      <c r="T189" s="79" t="str">
        <f t="shared" si="35"/>
        <v>NOT</v>
      </c>
      <c r="V189" s="79" t="str">
        <f t="shared" si="36"/>
        <v/>
      </c>
    </row>
    <row r="190" spans="1:22" x14ac:dyDescent="0.2">
      <c r="B190" s="259"/>
      <c r="C190" s="88"/>
      <c r="D190" s="260"/>
      <c r="E190" s="243"/>
      <c r="F190" s="261"/>
      <c r="G190" s="243"/>
      <c r="H190" s="262"/>
      <c r="I190" s="243"/>
      <c r="J190" s="262"/>
      <c r="K190" s="88"/>
      <c r="L190" s="143">
        <f t="shared" si="32"/>
        <v>0</v>
      </c>
      <c r="N190" s="81"/>
      <c r="R190" s="79" t="str">
        <f t="shared" si="33"/>
        <v>NOT</v>
      </c>
      <c r="S190" s="79" t="str">
        <f t="shared" si="34"/>
        <v>NOT</v>
      </c>
      <c r="T190" s="79" t="str">
        <f t="shared" si="35"/>
        <v>NOT</v>
      </c>
      <c r="V190" s="79" t="str">
        <f t="shared" si="36"/>
        <v/>
      </c>
    </row>
    <row r="191" spans="1:22" x14ac:dyDescent="0.2">
      <c r="B191" s="104"/>
      <c r="C191" s="88"/>
      <c r="D191" s="81"/>
      <c r="F191" s="81"/>
      <c r="H191" s="81"/>
      <c r="J191" s="81"/>
      <c r="K191" s="88"/>
      <c r="L191" s="81"/>
      <c r="N191" s="227"/>
    </row>
    <row r="192" spans="1:22" ht="13.5" customHeight="1" x14ac:dyDescent="0.2">
      <c r="A192" s="276"/>
      <c r="B192" s="278" t="s">
        <v>297</v>
      </c>
      <c r="C192" s="277"/>
      <c r="D192" s="747" t="s">
        <v>166</v>
      </c>
      <c r="E192" s="748"/>
      <c r="F192" s="748"/>
      <c r="G192" s="748"/>
      <c r="H192" s="748"/>
      <c r="I192" s="279"/>
      <c r="J192" s="280" t="s">
        <v>18</v>
      </c>
      <c r="K192" s="88"/>
      <c r="L192" s="156">
        <f>SUM(L199:L203)</f>
        <v>0</v>
      </c>
      <c r="M192" s="246"/>
      <c r="N192" s="147">
        <f>IF(L192=0,0%,L192/L$8)</f>
        <v>0</v>
      </c>
      <c r="O192" s="495">
        <f>IF(LEN(R192)&gt;3,1,0)</f>
        <v>0</v>
      </c>
      <c r="R192" s="79" t="str">
        <f>IF(AND(R198="NOT",S198="NOT",T198="NOT"),"NOT",D192)</f>
        <v>NOT</v>
      </c>
    </row>
    <row r="193" spans="1:22" s="76" customFormat="1" ht="3" customHeight="1" x14ac:dyDescent="0.2">
      <c r="A193" s="87"/>
      <c r="B193" s="88"/>
      <c r="C193" s="88"/>
      <c r="D193" s="70"/>
      <c r="E193" s="70"/>
      <c r="F193" s="70"/>
      <c r="G193" s="70"/>
      <c r="H193" s="70"/>
      <c r="I193" s="70"/>
      <c r="J193" s="70"/>
      <c r="K193" s="88"/>
      <c r="L193" s="70"/>
      <c r="M193" s="70"/>
      <c r="N193" s="70"/>
      <c r="O193" s="89"/>
      <c r="V193" s="79"/>
    </row>
    <row r="194" spans="1:22" ht="25.5" customHeight="1" x14ac:dyDescent="0.2">
      <c r="B194" s="749" t="s">
        <v>646</v>
      </c>
      <c r="C194" s="750"/>
      <c r="D194" s="750"/>
      <c r="E194" s="750"/>
      <c r="F194" s="750"/>
      <c r="H194" s="81"/>
      <c r="J194" s="81"/>
      <c r="K194" s="88"/>
      <c r="L194" s="81"/>
      <c r="N194" s="227"/>
      <c r="R194" s="79" t="str">
        <f>IF(AND(($L192&gt;0),ISBLANK(B196)),B194,"NOT")</f>
        <v>NOT</v>
      </c>
    </row>
    <row r="195" spans="1:22" ht="3" customHeight="1" x14ac:dyDescent="0.2">
      <c r="B195" s="104"/>
      <c r="C195" s="88"/>
      <c r="D195" s="81"/>
      <c r="F195" s="81"/>
      <c r="H195" s="81"/>
      <c r="J195" s="81"/>
      <c r="K195" s="88"/>
      <c r="L195" s="81"/>
      <c r="N195" s="227"/>
    </row>
    <row r="196" spans="1:22" ht="60.75" customHeight="1" x14ac:dyDescent="0.2">
      <c r="B196" s="744"/>
      <c r="C196" s="745"/>
      <c r="D196" s="745"/>
      <c r="E196" s="745"/>
      <c r="F196" s="745"/>
      <c r="G196" s="745"/>
      <c r="H196" s="745"/>
      <c r="I196" s="745"/>
      <c r="J196" s="745"/>
      <c r="K196" s="745"/>
      <c r="L196" s="746"/>
      <c r="M196" s="70" t="s">
        <v>19</v>
      </c>
      <c r="N196" s="227"/>
    </row>
    <row r="197" spans="1:22" ht="3.75" customHeight="1" x14ac:dyDescent="0.2">
      <c r="B197" s="104"/>
      <c r="C197" s="88"/>
      <c r="D197" s="81"/>
      <c r="F197" s="81"/>
      <c r="H197" s="81"/>
      <c r="J197" s="81"/>
      <c r="K197" s="88"/>
      <c r="L197" s="81"/>
      <c r="N197" s="227"/>
    </row>
    <row r="198" spans="1:22" ht="12.75" customHeight="1" x14ac:dyDescent="0.2">
      <c r="B198" s="244" t="s">
        <v>17</v>
      </c>
      <c r="C198" s="88"/>
      <c r="D198" s="244" t="s">
        <v>580</v>
      </c>
      <c r="F198" s="244" t="s">
        <v>205</v>
      </c>
      <c r="H198" s="244" t="s">
        <v>16</v>
      </c>
      <c r="J198" s="244" t="s">
        <v>15</v>
      </c>
      <c r="K198" s="245"/>
      <c r="L198" s="103" t="s">
        <v>141</v>
      </c>
      <c r="N198" s="81"/>
      <c r="R198" s="255" t="str">
        <f>IF(AND(R199="NOT",R200="NOT",R201="NOT",R202="NOT",R203="NOT",R194="NOT"),"NOT",D192)</f>
        <v>NOT</v>
      </c>
      <c r="S198" s="255" t="str">
        <f>IF(AND(S199="NOT",S200="NOT",S201="NOT",S202="NOT",S203="NOT",R194="NOT"),"NOT",D192)</f>
        <v>NOT</v>
      </c>
      <c r="T198" s="255" t="str">
        <f>IF(AND(T199="NOT",T200="NOT",T201="NOT",T202="NOT",T203="NOT",R194="NOT"),"NOT",D192)</f>
        <v>NOT</v>
      </c>
    </row>
    <row r="199" spans="1:22" x14ac:dyDescent="0.2">
      <c r="B199" s="259"/>
      <c r="C199" s="88"/>
      <c r="D199" s="260"/>
      <c r="E199" s="243"/>
      <c r="F199" s="261"/>
      <c r="G199" s="243"/>
      <c r="H199" s="262"/>
      <c r="I199" s="243"/>
      <c r="J199" s="262"/>
      <c r="K199" s="88"/>
      <c r="L199" s="143">
        <f>TRUNC(H199*J199,2)</f>
        <v>0</v>
      </c>
      <c r="N199" s="81"/>
      <c r="R199" s="79" t="str">
        <f>IF(AND(($L199&gt;0),ISBLANK(B199)),B199,"NOT")</f>
        <v>NOT</v>
      </c>
      <c r="S199" s="79" t="str">
        <f>IF(AND(($L199&gt;0),ISBLANK(D199)),D199,"NOT")</f>
        <v>NOT</v>
      </c>
      <c r="T199" s="79" t="str">
        <f>IF(AND(($L199&gt;0),ISBLANK(F199)),F199,"NOT")</f>
        <v>NOT</v>
      </c>
      <c r="V199" s="79" t="str">
        <f>LEFT(D199,3)</f>
        <v/>
      </c>
    </row>
    <row r="200" spans="1:22" x14ac:dyDescent="0.2">
      <c r="B200" s="259"/>
      <c r="C200" s="88"/>
      <c r="D200" s="260"/>
      <c r="E200" s="243"/>
      <c r="F200" s="261"/>
      <c r="G200" s="243"/>
      <c r="H200" s="262"/>
      <c r="I200" s="243"/>
      <c r="J200" s="262"/>
      <c r="K200" s="88"/>
      <c r="L200" s="143">
        <f>TRUNC(H200*J200,2)</f>
        <v>0</v>
      </c>
      <c r="N200" s="81"/>
      <c r="R200" s="79" t="str">
        <f>IF(AND(($L200&gt;0),ISBLANK(B200)),B200,"NOT")</f>
        <v>NOT</v>
      </c>
      <c r="S200" s="79" t="str">
        <f>IF(AND(($L200&gt;0),ISBLANK(D200)),D200,"NOT")</f>
        <v>NOT</v>
      </c>
      <c r="T200" s="79" t="str">
        <f>IF(AND(($L200&gt;0),ISBLANK(F200)),F200,"NOT")</f>
        <v>NOT</v>
      </c>
      <c r="V200" s="79" t="str">
        <f t="shared" ref="V200:V203" si="37">LEFT(D200,3)</f>
        <v/>
      </c>
    </row>
    <row r="201" spans="1:22" x14ac:dyDescent="0.2">
      <c r="B201" s="259"/>
      <c r="C201" s="88"/>
      <c r="D201" s="260"/>
      <c r="E201" s="243"/>
      <c r="F201" s="261"/>
      <c r="G201" s="243"/>
      <c r="H201" s="262"/>
      <c r="I201" s="243"/>
      <c r="J201" s="262"/>
      <c r="K201" s="88"/>
      <c r="L201" s="143">
        <f>TRUNC(H201*J201,2)</f>
        <v>0</v>
      </c>
      <c r="N201" s="81"/>
      <c r="R201" s="79" t="str">
        <f>IF(AND(($L201&gt;0),ISBLANK(B201)),B201,"NOT")</f>
        <v>NOT</v>
      </c>
      <c r="S201" s="79" t="str">
        <f>IF(AND(($L201&gt;0),ISBLANK(D201)),D201,"NOT")</f>
        <v>NOT</v>
      </c>
      <c r="T201" s="79" t="str">
        <f>IF(AND(($L201&gt;0),ISBLANK(F201)),F201,"NOT")</f>
        <v>NOT</v>
      </c>
      <c r="V201" s="79" t="str">
        <f t="shared" si="37"/>
        <v/>
      </c>
    </row>
    <row r="202" spans="1:22" x14ac:dyDescent="0.2">
      <c r="B202" s="259"/>
      <c r="C202" s="88"/>
      <c r="D202" s="260"/>
      <c r="E202" s="243"/>
      <c r="F202" s="261"/>
      <c r="G202" s="243"/>
      <c r="H202" s="262"/>
      <c r="I202" s="243"/>
      <c r="J202" s="262"/>
      <c r="K202" s="88"/>
      <c r="L202" s="143">
        <f>TRUNC(H202*J202,2)</f>
        <v>0</v>
      </c>
      <c r="N202" s="81"/>
      <c r="R202" s="79" t="str">
        <f>IF(AND(($L202&gt;0),ISBLANK(B202)),B202,"NOT")</f>
        <v>NOT</v>
      </c>
      <c r="S202" s="79" t="str">
        <f>IF(AND(($L202&gt;0),ISBLANK(D202)),D202,"NOT")</f>
        <v>NOT</v>
      </c>
      <c r="T202" s="79" t="str">
        <f>IF(AND(($L202&gt;0),ISBLANK(F202)),F202,"NOT")</f>
        <v>NOT</v>
      </c>
      <c r="V202" s="79" t="str">
        <f t="shared" si="37"/>
        <v/>
      </c>
    </row>
    <row r="203" spans="1:22" x14ac:dyDescent="0.2">
      <c r="B203" s="259"/>
      <c r="C203" s="88"/>
      <c r="D203" s="260"/>
      <c r="E203" s="243"/>
      <c r="F203" s="261"/>
      <c r="G203" s="243"/>
      <c r="H203" s="262"/>
      <c r="I203" s="243"/>
      <c r="J203" s="262"/>
      <c r="K203" s="88"/>
      <c r="L203" s="143">
        <f>TRUNC(H203*J203,2)</f>
        <v>0</v>
      </c>
      <c r="N203" s="81"/>
      <c r="R203" s="79" t="str">
        <f>IF(AND(($L203&gt;0),ISBLANK(B203)),B203,"NOT")</f>
        <v>NOT</v>
      </c>
      <c r="S203" s="79" t="str">
        <f>IF(AND(($L203&gt;0),ISBLANK(D203)),D203,"NOT")</f>
        <v>NOT</v>
      </c>
      <c r="T203" s="79" t="str">
        <f>IF(AND(($L203&gt;0),ISBLANK(F203)),F203,"NOT")</f>
        <v>NOT</v>
      </c>
      <c r="V203" s="79" t="str">
        <f t="shared" si="37"/>
        <v/>
      </c>
    </row>
    <row r="204" spans="1:22" x14ac:dyDescent="0.2">
      <c r="B204" s="104"/>
      <c r="C204" s="88"/>
      <c r="D204" s="81"/>
      <c r="F204" s="81"/>
      <c r="H204" s="81"/>
      <c r="J204" s="81"/>
      <c r="K204" s="88"/>
      <c r="L204" s="81"/>
      <c r="N204" s="227"/>
    </row>
    <row r="205" spans="1:22" x14ac:dyDescent="0.2">
      <c r="B205" s="104"/>
      <c r="C205" s="88"/>
      <c r="D205" s="81"/>
      <c r="F205" s="81"/>
      <c r="H205" s="81"/>
      <c r="J205" s="81"/>
      <c r="K205" s="88"/>
      <c r="L205" s="81"/>
      <c r="N205" s="227"/>
    </row>
    <row r="206" spans="1:22" ht="27" customHeight="1" x14ac:dyDescent="0.2">
      <c r="A206" s="247">
        <v>6</v>
      </c>
      <c r="B206" s="248" t="s">
        <v>298</v>
      </c>
      <c r="C206" s="249"/>
      <c r="D206" s="760"/>
      <c r="E206" s="761"/>
      <c r="F206" s="761"/>
      <c r="G206" s="761"/>
      <c r="H206" s="762"/>
      <c r="I206" s="250"/>
      <c r="J206" s="251" t="s">
        <v>18</v>
      </c>
      <c r="K206" s="249"/>
      <c r="L206" s="252">
        <f>L208+L226</f>
        <v>0</v>
      </c>
      <c r="M206" s="250"/>
      <c r="N206" s="253">
        <f>IF(L206=0,0%,L206/L$8)</f>
        <v>0</v>
      </c>
      <c r="O206" s="94"/>
      <c r="P206" s="95"/>
      <c r="Q206" s="79" t="e">
        <f>IF(AND(R227=#REF!,#REF!&gt;#REF!),D206,0)</f>
        <v>#REF!</v>
      </c>
      <c r="R206" s="79" t="e">
        <f>IF(AND(R227=#REF!,#REF!&gt;#REF!),D206,0)</f>
        <v>#REF!</v>
      </c>
      <c r="S206" s="79">
        <f>IF('9. Project budget summary'!T41&gt;0,('9. Project budget summary'!T37+'9. Project budget summary'!T33)/'9. Project budget summary'!T41,0)</f>
        <v>0.67187048492599999</v>
      </c>
      <c r="T206" s="231" t="s">
        <v>172</v>
      </c>
      <c r="U206" s="320" t="s">
        <v>183</v>
      </c>
      <c r="V206" s="271">
        <v>0.7</v>
      </c>
    </row>
    <row r="207" spans="1:22" s="76" customFormat="1" ht="7.5" customHeight="1" x14ac:dyDescent="0.2">
      <c r="A207" s="87"/>
      <c r="B207" s="88"/>
      <c r="C207" s="88"/>
      <c r="D207" s="70"/>
      <c r="E207" s="70"/>
      <c r="F207" s="70"/>
      <c r="G207" s="70"/>
      <c r="H207" s="70"/>
      <c r="I207" s="70"/>
      <c r="J207" s="70"/>
      <c r="K207" s="88"/>
      <c r="L207" s="70"/>
      <c r="M207" s="70"/>
      <c r="N207" s="70"/>
      <c r="O207" s="89"/>
      <c r="V207" s="79"/>
    </row>
    <row r="208" spans="1:22" ht="13.5" customHeight="1" x14ac:dyDescent="0.2">
      <c r="A208" s="276"/>
      <c r="B208" s="278" t="s">
        <v>301</v>
      </c>
      <c r="C208" s="277"/>
      <c r="D208" s="747" t="s">
        <v>166</v>
      </c>
      <c r="E208" s="748"/>
      <c r="F208" s="748"/>
      <c r="G208" s="748"/>
      <c r="H208" s="748"/>
      <c r="I208" s="279"/>
      <c r="J208" s="280" t="s">
        <v>18</v>
      </c>
      <c r="K208" s="88"/>
      <c r="L208" s="156">
        <f>SUM(L215:L224)</f>
        <v>0</v>
      </c>
      <c r="M208" s="246"/>
      <c r="N208" s="147">
        <f>IF(L208=0,0%,L208/L$8)</f>
        <v>0</v>
      </c>
      <c r="O208" s="495">
        <f>IF(LEN(R208)&gt;3,1,0)</f>
        <v>0</v>
      </c>
      <c r="R208" s="79" t="str">
        <f>IF(AND(R214="NOT",S214="NOT",T214="NOT"),"NOT",D208)</f>
        <v>NOT</v>
      </c>
    </row>
    <row r="209" spans="1:22" s="76" customFormat="1" ht="3" customHeight="1" x14ac:dyDescent="0.2">
      <c r="A209" s="87"/>
      <c r="B209" s="88"/>
      <c r="C209" s="88"/>
      <c r="D209" s="70"/>
      <c r="E209" s="70"/>
      <c r="F209" s="70"/>
      <c r="G209" s="70"/>
      <c r="H209" s="70"/>
      <c r="I209" s="70"/>
      <c r="J209" s="70"/>
      <c r="K209" s="88"/>
      <c r="L209" s="70"/>
      <c r="M209" s="70"/>
      <c r="N209" s="70"/>
      <c r="O209" s="89"/>
      <c r="V209" s="79"/>
    </row>
    <row r="210" spans="1:22" ht="24.75" customHeight="1" x14ac:dyDescent="0.2">
      <c r="B210" s="749" t="s">
        <v>203</v>
      </c>
      <c r="C210" s="750"/>
      <c r="D210" s="750"/>
      <c r="E210" s="750"/>
      <c r="F210" s="750"/>
      <c r="H210" s="81"/>
      <c r="J210" s="81"/>
      <c r="K210" s="88"/>
      <c r="L210" s="81"/>
      <c r="N210" s="227"/>
      <c r="R210" s="79" t="str">
        <f>IF(AND(($L208&gt;0),ISBLANK(B212)),B210,"NOT")</f>
        <v>NOT</v>
      </c>
    </row>
    <row r="211" spans="1:22" ht="3" customHeight="1" x14ac:dyDescent="0.2">
      <c r="B211" s="104"/>
      <c r="C211" s="88"/>
      <c r="D211" s="81"/>
      <c r="F211" s="81"/>
      <c r="H211" s="81"/>
      <c r="J211" s="81"/>
      <c r="K211" s="88"/>
      <c r="L211" s="81"/>
      <c r="N211" s="227"/>
    </row>
    <row r="212" spans="1:22" ht="90" customHeight="1" x14ac:dyDescent="0.2">
      <c r="B212" s="744"/>
      <c r="C212" s="745"/>
      <c r="D212" s="745"/>
      <c r="E212" s="745"/>
      <c r="F212" s="745"/>
      <c r="G212" s="745"/>
      <c r="H212" s="745"/>
      <c r="I212" s="745"/>
      <c r="J212" s="745"/>
      <c r="K212" s="745"/>
      <c r="L212" s="746"/>
      <c r="M212" s="70" t="s">
        <v>19</v>
      </c>
      <c r="N212" s="227"/>
    </row>
    <row r="213" spans="1:22" ht="3.75" customHeight="1" x14ac:dyDescent="0.2">
      <c r="B213" s="104"/>
      <c r="C213" s="88"/>
      <c r="D213" s="81"/>
      <c r="F213" s="81"/>
      <c r="H213" s="81"/>
      <c r="J213" s="81"/>
      <c r="K213" s="88"/>
      <c r="L213" s="81"/>
      <c r="N213" s="227"/>
    </row>
    <row r="214" spans="1:22" ht="38.25" x14ac:dyDescent="0.2">
      <c r="B214" s="244" t="s">
        <v>204</v>
      </c>
      <c r="C214" s="88"/>
      <c r="D214" s="244" t="s">
        <v>580</v>
      </c>
      <c r="F214" s="244" t="s">
        <v>205</v>
      </c>
      <c r="H214" s="244" t="s">
        <v>16</v>
      </c>
      <c r="J214" s="244" t="s">
        <v>15</v>
      </c>
      <c r="K214" s="245"/>
      <c r="L214" s="103" t="s">
        <v>141</v>
      </c>
      <c r="N214" s="81"/>
      <c r="R214" s="255" t="str">
        <f>IF(AND(R215="NOT",R216="NOT",R217="NOT",R218="NOT",R219="NOT",R220="NOT",R221="NOT",R222="NOT",R223="NOT",R224="NOT",R210="NOT"),"NOT",D208)</f>
        <v>NOT</v>
      </c>
      <c r="S214" s="255" t="str">
        <f>IF(AND(S215="NOT",S216="NOT",S217="NOT",S218="NOT",S219="NOT",S220="NOT",S221="NOT",S222="NOT",S223="NOT",S224="NOT",R210="NOT"),"NOT",D208)</f>
        <v>NOT</v>
      </c>
      <c r="T214" s="255" t="str">
        <f>IF(AND(T215="NOT",T216="NOT",T217="NOT",T218="NOT",T219="NOT",T220="NOT",T221="NOT",T222="NOT",T223="NOT",T224="NOT",R210="NOT"),"NOT",D208)</f>
        <v>NOT</v>
      </c>
    </row>
    <row r="215" spans="1:22" x14ac:dyDescent="0.2">
      <c r="B215" s="259"/>
      <c r="C215" s="88"/>
      <c r="D215" s="260"/>
      <c r="E215" s="243"/>
      <c r="F215" s="261"/>
      <c r="G215" s="243"/>
      <c r="H215" s="262"/>
      <c r="I215" s="243"/>
      <c r="J215" s="262"/>
      <c r="K215" s="88"/>
      <c r="L215" s="143">
        <f t="shared" ref="L215:L224" si="38">TRUNC(H215*J215,2)</f>
        <v>0</v>
      </c>
      <c r="N215" s="81"/>
      <c r="R215" s="79" t="str">
        <f t="shared" ref="R215:R224" si="39">IF(AND(($L215&gt;0),ISBLANK(B215)),B215,"NOT")</f>
        <v>NOT</v>
      </c>
      <c r="S215" s="79" t="str">
        <f t="shared" ref="S215:S224" si="40">IF(AND(($L215&gt;0),ISBLANK(D215)),D215,"NOT")</f>
        <v>NOT</v>
      </c>
      <c r="T215" s="79" t="str">
        <f t="shared" ref="T215:T224" si="41">IF(AND(($L215&gt;0),ISBLANK(F215)),F215,"NOT")</f>
        <v>NOT</v>
      </c>
      <c r="V215" s="79" t="str">
        <f t="shared" ref="V215:V224" si="42">LEFT(D215,3)</f>
        <v/>
      </c>
    </row>
    <row r="216" spans="1:22" x14ac:dyDescent="0.2">
      <c r="B216" s="259"/>
      <c r="C216" s="88"/>
      <c r="D216" s="260"/>
      <c r="E216" s="243"/>
      <c r="F216" s="261"/>
      <c r="G216" s="243"/>
      <c r="H216" s="262"/>
      <c r="I216" s="243"/>
      <c r="J216" s="262"/>
      <c r="K216" s="88"/>
      <c r="L216" s="143">
        <f t="shared" si="38"/>
        <v>0</v>
      </c>
      <c r="N216" s="81"/>
      <c r="R216" s="79" t="str">
        <f t="shared" si="39"/>
        <v>NOT</v>
      </c>
      <c r="S216" s="79" t="str">
        <f t="shared" si="40"/>
        <v>NOT</v>
      </c>
      <c r="T216" s="79" t="str">
        <f t="shared" si="41"/>
        <v>NOT</v>
      </c>
      <c r="V216" s="79" t="str">
        <f t="shared" si="42"/>
        <v/>
      </c>
    </row>
    <row r="217" spans="1:22" x14ac:dyDescent="0.2">
      <c r="B217" s="259"/>
      <c r="C217" s="88"/>
      <c r="D217" s="260"/>
      <c r="E217" s="243"/>
      <c r="F217" s="261"/>
      <c r="G217" s="243"/>
      <c r="H217" s="262"/>
      <c r="I217" s="243"/>
      <c r="J217" s="262"/>
      <c r="K217" s="88"/>
      <c r="L217" s="143">
        <f t="shared" si="38"/>
        <v>0</v>
      </c>
      <c r="N217" s="81"/>
      <c r="R217" s="79" t="str">
        <f t="shared" si="39"/>
        <v>NOT</v>
      </c>
      <c r="S217" s="79" t="str">
        <f t="shared" si="40"/>
        <v>NOT</v>
      </c>
      <c r="T217" s="79" t="str">
        <f t="shared" si="41"/>
        <v>NOT</v>
      </c>
      <c r="V217" s="79" t="str">
        <f t="shared" si="42"/>
        <v/>
      </c>
    </row>
    <row r="218" spans="1:22" x14ac:dyDescent="0.2">
      <c r="B218" s="259"/>
      <c r="C218" s="88"/>
      <c r="D218" s="260"/>
      <c r="E218" s="243"/>
      <c r="F218" s="261"/>
      <c r="G218" s="243"/>
      <c r="H218" s="262"/>
      <c r="I218" s="243"/>
      <c r="J218" s="262"/>
      <c r="K218" s="88"/>
      <c r="L218" s="143">
        <f t="shared" si="38"/>
        <v>0</v>
      </c>
      <c r="N218" s="81"/>
      <c r="R218" s="79" t="str">
        <f t="shared" si="39"/>
        <v>NOT</v>
      </c>
      <c r="S218" s="79" t="str">
        <f t="shared" si="40"/>
        <v>NOT</v>
      </c>
      <c r="T218" s="79" t="str">
        <f t="shared" si="41"/>
        <v>NOT</v>
      </c>
      <c r="V218" s="79" t="str">
        <f t="shared" si="42"/>
        <v/>
      </c>
    </row>
    <row r="219" spans="1:22" x14ac:dyDescent="0.2">
      <c r="B219" s="259"/>
      <c r="C219" s="88"/>
      <c r="D219" s="260"/>
      <c r="E219" s="243"/>
      <c r="F219" s="261"/>
      <c r="G219" s="243"/>
      <c r="H219" s="262"/>
      <c r="I219" s="243"/>
      <c r="J219" s="262"/>
      <c r="K219" s="88"/>
      <c r="L219" s="143">
        <f t="shared" si="38"/>
        <v>0</v>
      </c>
      <c r="N219" s="81"/>
      <c r="R219" s="79" t="str">
        <f t="shared" si="39"/>
        <v>NOT</v>
      </c>
      <c r="S219" s="79" t="str">
        <f t="shared" si="40"/>
        <v>NOT</v>
      </c>
      <c r="T219" s="79" t="str">
        <f t="shared" si="41"/>
        <v>NOT</v>
      </c>
      <c r="V219" s="79" t="str">
        <f t="shared" si="42"/>
        <v/>
      </c>
    </row>
    <row r="220" spans="1:22" x14ac:dyDescent="0.2">
      <c r="B220" s="259"/>
      <c r="C220" s="88"/>
      <c r="D220" s="260"/>
      <c r="E220" s="243"/>
      <c r="F220" s="261"/>
      <c r="G220" s="243"/>
      <c r="H220" s="262"/>
      <c r="I220" s="243"/>
      <c r="J220" s="262"/>
      <c r="K220" s="88"/>
      <c r="L220" s="143">
        <f t="shared" si="38"/>
        <v>0</v>
      </c>
      <c r="N220" s="81"/>
      <c r="R220" s="79" t="str">
        <f t="shared" si="39"/>
        <v>NOT</v>
      </c>
      <c r="S220" s="79" t="str">
        <f t="shared" si="40"/>
        <v>NOT</v>
      </c>
      <c r="T220" s="79" t="str">
        <f t="shared" si="41"/>
        <v>NOT</v>
      </c>
      <c r="V220" s="79" t="str">
        <f t="shared" si="42"/>
        <v/>
      </c>
    </row>
    <row r="221" spans="1:22" x14ac:dyDescent="0.2">
      <c r="B221" s="259"/>
      <c r="C221" s="88"/>
      <c r="D221" s="260"/>
      <c r="E221" s="243"/>
      <c r="F221" s="261"/>
      <c r="G221" s="243"/>
      <c r="H221" s="262"/>
      <c r="I221" s="243"/>
      <c r="J221" s="262"/>
      <c r="K221" s="88"/>
      <c r="L221" s="143">
        <f t="shared" si="38"/>
        <v>0</v>
      </c>
      <c r="N221" s="81"/>
      <c r="R221" s="79" t="str">
        <f t="shared" si="39"/>
        <v>NOT</v>
      </c>
      <c r="S221" s="79" t="str">
        <f t="shared" si="40"/>
        <v>NOT</v>
      </c>
      <c r="T221" s="79" t="str">
        <f t="shared" si="41"/>
        <v>NOT</v>
      </c>
      <c r="V221" s="79" t="str">
        <f t="shared" si="42"/>
        <v/>
      </c>
    </row>
    <row r="222" spans="1:22" x14ac:dyDescent="0.2">
      <c r="B222" s="259"/>
      <c r="C222" s="88"/>
      <c r="D222" s="260"/>
      <c r="E222" s="243"/>
      <c r="F222" s="261"/>
      <c r="G222" s="243"/>
      <c r="H222" s="262"/>
      <c r="I222" s="243"/>
      <c r="J222" s="262"/>
      <c r="K222" s="88"/>
      <c r="L222" s="143">
        <f t="shared" si="38"/>
        <v>0</v>
      </c>
      <c r="N222" s="81"/>
      <c r="R222" s="79" t="str">
        <f t="shared" si="39"/>
        <v>NOT</v>
      </c>
      <c r="S222" s="79" t="str">
        <f t="shared" si="40"/>
        <v>NOT</v>
      </c>
      <c r="T222" s="79" t="str">
        <f t="shared" si="41"/>
        <v>NOT</v>
      </c>
      <c r="V222" s="79" t="str">
        <f t="shared" si="42"/>
        <v/>
      </c>
    </row>
    <row r="223" spans="1:22" x14ac:dyDescent="0.2">
      <c r="B223" s="259"/>
      <c r="C223" s="88"/>
      <c r="D223" s="260"/>
      <c r="E223" s="243"/>
      <c r="F223" s="261"/>
      <c r="G223" s="243"/>
      <c r="H223" s="262"/>
      <c r="I223" s="243"/>
      <c r="J223" s="262"/>
      <c r="K223" s="88"/>
      <c r="L223" s="143">
        <f t="shared" si="38"/>
        <v>0</v>
      </c>
      <c r="N223" s="81"/>
      <c r="R223" s="79" t="str">
        <f t="shared" si="39"/>
        <v>NOT</v>
      </c>
      <c r="S223" s="79" t="str">
        <f t="shared" si="40"/>
        <v>NOT</v>
      </c>
      <c r="T223" s="79" t="str">
        <f t="shared" si="41"/>
        <v>NOT</v>
      </c>
      <c r="V223" s="79" t="str">
        <f t="shared" si="42"/>
        <v/>
      </c>
    </row>
    <row r="224" spans="1:22" x14ac:dyDescent="0.2">
      <c r="B224" s="259"/>
      <c r="C224" s="88"/>
      <c r="D224" s="260"/>
      <c r="E224" s="243"/>
      <c r="F224" s="261"/>
      <c r="G224" s="243"/>
      <c r="H224" s="262"/>
      <c r="I224" s="243"/>
      <c r="J224" s="262"/>
      <c r="K224" s="88"/>
      <c r="L224" s="143">
        <f t="shared" si="38"/>
        <v>0</v>
      </c>
      <c r="N224" s="81"/>
      <c r="R224" s="79" t="str">
        <f t="shared" si="39"/>
        <v>NOT</v>
      </c>
      <c r="S224" s="79" t="str">
        <f t="shared" si="40"/>
        <v>NOT</v>
      </c>
      <c r="T224" s="79" t="str">
        <f t="shared" si="41"/>
        <v>NOT</v>
      </c>
      <c r="V224" s="79" t="str">
        <f t="shared" si="42"/>
        <v/>
      </c>
    </row>
    <row r="225" spans="1:22" x14ac:dyDescent="0.2">
      <c r="B225" s="104"/>
      <c r="C225" s="88"/>
      <c r="D225" s="81"/>
      <c r="F225" s="81"/>
      <c r="H225" s="81"/>
      <c r="J225" s="81"/>
      <c r="K225" s="88"/>
      <c r="L225" s="81"/>
      <c r="N225" s="227"/>
    </row>
    <row r="226" spans="1:22" ht="13.5" customHeight="1" x14ac:dyDescent="0.2">
      <c r="A226" s="276"/>
      <c r="B226" s="278" t="s">
        <v>302</v>
      </c>
      <c r="C226" s="249"/>
      <c r="D226" s="754" t="s">
        <v>300</v>
      </c>
      <c r="E226" s="755"/>
      <c r="F226" s="755"/>
      <c r="G226" s="755"/>
      <c r="H226" s="756"/>
      <c r="I226" s="250"/>
      <c r="J226" s="280" t="s">
        <v>18</v>
      </c>
      <c r="K226" s="88"/>
      <c r="L226" s="156">
        <f>IF(LEN(D1)&gt;5,1000,0)</f>
        <v>0</v>
      </c>
      <c r="M226" s="246"/>
      <c r="N226" s="147">
        <f>IF(L226=0,0%,L226/L$8)</f>
        <v>0</v>
      </c>
      <c r="R226" s="79" t="e">
        <f>IF(AND(#REF!="NOT",#REF!="NOT",#REF!="NOT"),"NOT",D226)</f>
        <v>#REF!</v>
      </c>
    </row>
    <row r="227" spans="1:22" x14ac:dyDescent="0.2">
      <c r="B227" s="104"/>
      <c r="C227" s="88"/>
      <c r="D227" s="81"/>
      <c r="F227" s="81"/>
      <c r="H227" s="81"/>
      <c r="J227" s="81"/>
      <c r="K227" s="88"/>
      <c r="L227" s="81"/>
      <c r="N227" s="227"/>
      <c r="R227" s="321" t="str">
        <f>LEFT('1. General Data'!E25,5)</f>
        <v>2.1.1</v>
      </c>
      <c r="S227" s="231">
        <f>IF('9. Project budget summary'!T41&gt;0,'9. Project budget summary'!T37/'9. Project budget summary'!T41,0)</f>
        <v>0.52183891467003807</v>
      </c>
      <c r="T227" s="231" t="s">
        <v>170</v>
      </c>
      <c r="U227" s="320" t="s">
        <v>26</v>
      </c>
      <c r="V227" s="271">
        <v>0.5</v>
      </c>
    </row>
    <row r="228" spans="1:22" ht="40.5" customHeight="1" x14ac:dyDescent="0.2">
      <c r="A228" s="247">
        <v>7</v>
      </c>
      <c r="B228" s="248" t="s">
        <v>299</v>
      </c>
      <c r="C228" s="249"/>
      <c r="D228" s="317"/>
      <c r="E228" s="327"/>
      <c r="F228" s="757"/>
      <c r="G228" s="758"/>
      <c r="H228" s="759"/>
      <c r="I228" s="250"/>
      <c r="J228" s="251" t="s">
        <v>18</v>
      </c>
      <c r="K228" s="249"/>
      <c r="L228" s="252">
        <f>L230+L248</f>
        <v>0</v>
      </c>
      <c r="M228" s="250"/>
      <c r="N228" s="253">
        <f>IF(L228=0,0%,L228/L$8)</f>
        <v>0</v>
      </c>
      <c r="O228" s="94"/>
      <c r="P228" s="95"/>
      <c r="Q228" s="321" t="e">
        <f>IF(R227=#REF!,IF(#REF!&gt;#REF!,D228,0),IF(AND(OR(R227=U228,R227=#REF!,R227=U229),N228&gt;V228),D228,0))</f>
        <v>#REF!</v>
      </c>
      <c r="R228" s="321">
        <f>IF(AND(R227=U227,S227&lt;V227),F228,0)</f>
        <v>0</v>
      </c>
      <c r="S228" s="231">
        <f>IF('9. Project budget summary'!T41&gt;0,'9. Project budget summary'!T37/'9. Project budget summary'!T41,0)</f>
        <v>0.52183891467003807</v>
      </c>
      <c r="T228" s="231" t="s">
        <v>171</v>
      </c>
      <c r="U228" s="320" t="s">
        <v>32</v>
      </c>
      <c r="V228" s="271">
        <v>0.7</v>
      </c>
    </row>
    <row r="229" spans="1:22" s="76" customFormat="1" ht="7.5" customHeight="1" x14ac:dyDescent="0.2">
      <c r="A229" s="87"/>
      <c r="B229" s="88"/>
      <c r="C229" s="88"/>
      <c r="D229" s="70"/>
      <c r="E229" s="70"/>
      <c r="F229" s="70"/>
      <c r="G229" s="70"/>
      <c r="H229" s="70"/>
      <c r="I229" s="70"/>
      <c r="J229" s="70"/>
      <c r="K229" s="88"/>
      <c r="L229" s="70"/>
      <c r="M229" s="70"/>
      <c r="N229" s="70"/>
      <c r="O229" s="89"/>
      <c r="S229" s="231">
        <f>IF('9. Project budget summary'!T41&gt;0,'9. Project budget summary'!T37/'9. Project budget summary'!T41,0)</f>
        <v>0.52183891467003807</v>
      </c>
      <c r="T229" s="231" t="s">
        <v>171</v>
      </c>
      <c r="U229" s="320" t="s">
        <v>24</v>
      </c>
      <c r="V229" s="271">
        <v>0.7</v>
      </c>
    </row>
    <row r="230" spans="1:22" ht="28.5" customHeight="1" x14ac:dyDescent="0.2">
      <c r="A230" s="276"/>
      <c r="B230" s="278" t="s">
        <v>303</v>
      </c>
      <c r="C230" s="277"/>
      <c r="D230" s="747" t="s">
        <v>166</v>
      </c>
      <c r="E230" s="748"/>
      <c r="F230" s="748"/>
      <c r="G230" s="748"/>
      <c r="H230" s="748"/>
      <c r="I230" s="279"/>
      <c r="J230" s="280" t="s">
        <v>18</v>
      </c>
      <c r="K230" s="88"/>
      <c r="L230" s="156">
        <f>SUM(L237:L246)</f>
        <v>0</v>
      </c>
      <c r="M230" s="246"/>
      <c r="N230" s="147">
        <f>IF(L230=0,0%,L230/L$8)</f>
        <v>0</v>
      </c>
      <c r="O230" s="495">
        <f>IF(LEN(R230)&gt;3,1,0)</f>
        <v>0</v>
      </c>
      <c r="R230" s="79" t="str">
        <f>IF(AND(R236="NOT",S236="NOT",T236="NOT"),"NOT",D230)</f>
        <v>NOT</v>
      </c>
      <c r="U230" s="328"/>
    </row>
    <row r="231" spans="1:22" s="76" customFormat="1" ht="3" customHeight="1" x14ac:dyDescent="0.2">
      <c r="A231" s="87"/>
      <c r="B231" s="88"/>
      <c r="C231" s="88"/>
      <c r="D231" s="70"/>
      <c r="E231" s="70"/>
      <c r="F231" s="70"/>
      <c r="G231" s="70"/>
      <c r="H231" s="70"/>
      <c r="I231" s="70"/>
      <c r="J231" s="70"/>
      <c r="K231" s="88"/>
      <c r="L231" s="70"/>
      <c r="M231" s="70"/>
      <c r="N231" s="70"/>
      <c r="O231" s="89"/>
      <c r="V231" s="79"/>
    </row>
    <row r="232" spans="1:22" ht="29.25" customHeight="1" x14ac:dyDescent="0.2">
      <c r="B232" s="749" t="s">
        <v>203</v>
      </c>
      <c r="C232" s="750"/>
      <c r="D232" s="750"/>
      <c r="E232" s="750"/>
      <c r="F232" s="750"/>
      <c r="H232" s="81"/>
      <c r="J232" s="81"/>
      <c r="K232" s="88"/>
      <c r="L232" s="81"/>
      <c r="N232" s="227"/>
      <c r="R232" s="79" t="str">
        <f>IF(AND(($L230&gt;0),ISBLANK(B234)),B232,"NOT")</f>
        <v>NOT</v>
      </c>
    </row>
    <row r="233" spans="1:22" ht="3" customHeight="1" x14ac:dyDescent="0.2">
      <c r="B233" s="104"/>
      <c r="C233" s="88"/>
      <c r="D233" s="81"/>
      <c r="F233" s="81"/>
      <c r="H233" s="81"/>
      <c r="J233" s="81"/>
      <c r="K233" s="88"/>
      <c r="L233" s="81"/>
      <c r="N233" s="227"/>
    </row>
    <row r="234" spans="1:22" ht="90" customHeight="1" x14ac:dyDescent="0.2">
      <c r="B234" s="744"/>
      <c r="C234" s="745"/>
      <c r="D234" s="745"/>
      <c r="E234" s="745"/>
      <c r="F234" s="745"/>
      <c r="G234" s="745"/>
      <c r="H234" s="745"/>
      <c r="I234" s="745"/>
      <c r="J234" s="745"/>
      <c r="K234" s="745"/>
      <c r="L234" s="746"/>
      <c r="M234" s="70" t="s">
        <v>19</v>
      </c>
      <c r="N234" s="227"/>
    </row>
    <row r="235" spans="1:22" ht="3.75" customHeight="1" x14ac:dyDescent="0.2">
      <c r="B235" s="104"/>
      <c r="C235" s="88"/>
      <c r="D235" s="81"/>
      <c r="F235" s="81"/>
      <c r="H235" s="81"/>
      <c r="J235" s="81"/>
      <c r="K235" s="88"/>
      <c r="L235" s="81"/>
      <c r="N235" s="227"/>
    </row>
    <row r="236" spans="1:22" ht="12.75" customHeight="1" x14ac:dyDescent="0.2">
      <c r="B236" s="244" t="s">
        <v>17</v>
      </c>
      <c r="C236" s="88"/>
      <c r="D236" s="244" t="s">
        <v>580</v>
      </c>
      <c r="F236" s="244" t="s">
        <v>205</v>
      </c>
      <c r="H236" s="244" t="s">
        <v>16</v>
      </c>
      <c r="J236" s="244" t="s">
        <v>15</v>
      </c>
      <c r="K236" s="245"/>
      <c r="L236" s="103" t="s">
        <v>141</v>
      </c>
      <c r="N236" s="81"/>
      <c r="R236" s="255" t="str">
        <f>IF(AND(R237="NOT",R238="NOT",R239="NOT",R240="NOT",R241="NOT",R242="NOT",R243="NOT",R244="NOT",R245="NOT",R246="NOT",R232="NOT"),"NOT",D230)</f>
        <v>NOT</v>
      </c>
      <c r="S236" s="255" t="str">
        <f>IF(AND(S237="NOT",S238="NOT",S239="NOT",S240="NOT",S241="NOT",S242="NOT",S243="NOT",S244="NOT",S245="NOT",S246="NOT",R232="NOT"),"NOT",D230)</f>
        <v>NOT</v>
      </c>
      <c r="T236" s="255" t="str">
        <f>IF(AND(T237="NOT",T238="NOT",T239="NOT",T240="NOT",T241="NOT",T242="NOT",T243="NOT",T244="NOT",T245="NOT",T246="NOT",R232="NOT"),"NOT",D230)</f>
        <v>NOT</v>
      </c>
    </row>
    <row r="237" spans="1:22" x14ac:dyDescent="0.2">
      <c r="B237" s="259"/>
      <c r="C237" s="88"/>
      <c r="D237" s="260"/>
      <c r="E237" s="243"/>
      <c r="F237" s="261"/>
      <c r="G237" s="243"/>
      <c r="H237" s="262"/>
      <c r="I237" s="243"/>
      <c r="J237" s="262"/>
      <c r="K237" s="88"/>
      <c r="L237" s="143">
        <f t="shared" ref="L237:L246" si="43">TRUNC(H237*J237,2)</f>
        <v>0</v>
      </c>
      <c r="N237" s="81"/>
      <c r="R237" s="79" t="str">
        <f t="shared" ref="R237:R246" si="44">IF(AND(($L237&gt;0),ISBLANK(B237)),B237,"NOT")</f>
        <v>NOT</v>
      </c>
      <c r="S237" s="79" t="str">
        <f t="shared" ref="S237:S246" si="45">IF(AND(($L237&gt;0),ISBLANK(D237)),D237,"NOT")</f>
        <v>NOT</v>
      </c>
      <c r="T237" s="79" t="str">
        <f t="shared" ref="T237:T246" si="46">IF(AND(($L237&gt;0),ISBLANK(F237)),F237,"NOT")</f>
        <v>NOT</v>
      </c>
      <c r="V237" s="79" t="str">
        <f t="shared" ref="V237:V246" si="47">LEFT(D237,3)</f>
        <v/>
      </c>
    </row>
    <row r="238" spans="1:22" x14ac:dyDescent="0.2">
      <c r="B238" s="259"/>
      <c r="C238" s="88"/>
      <c r="D238" s="260"/>
      <c r="E238" s="243"/>
      <c r="F238" s="261"/>
      <c r="G238" s="243"/>
      <c r="H238" s="262"/>
      <c r="I238" s="243"/>
      <c r="J238" s="262"/>
      <c r="K238" s="88"/>
      <c r="L238" s="143">
        <f t="shared" si="43"/>
        <v>0</v>
      </c>
      <c r="N238" s="81"/>
      <c r="R238" s="79" t="str">
        <f t="shared" si="44"/>
        <v>NOT</v>
      </c>
      <c r="S238" s="79" t="str">
        <f t="shared" si="45"/>
        <v>NOT</v>
      </c>
      <c r="T238" s="79" t="str">
        <f t="shared" si="46"/>
        <v>NOT</v>
      </c>
      <c r="V238" s="79" t="str">
        <f t="shared" si="47"/>
        <v/>
      </c>
    </row>
    <row r="239" spans="1:22" x14ac:dyDescent="0.2">
      <c r="B239" s="259"/>
      <c r="C239" s="88"/>
      <c r="D239" s="260"/>
      <c r="E239" s="243"/>
      <c r="F239" s="261"/>
      <c r="G239" s="243"/>
      <c r="H239" s="262"/>
      <c r="I239" s="243"/>
      <c r="J239" s="262"/>
      <c r="K239" s="88"/>
      <c r="L239" s="143">
        <f t="shared" si="43"/>
        <v>0</v>
      </c>
      <c r="N239" s="81"/>
      <c r="R239" s="79" t="str">
        <f t="shared" si="44"/>
        <v>NOT</v>
      </c>
      <c r="S239" s="79" t="str">
        <f t="shared" si="45"/>
        <v>NOT</v>
      </c>
      <c r="T239" s="79" t="str">
        <f t="shared" si="46"/>
        <v>NOT</v>
      </c>
      <c r="V239" s="79" t="str">
        <f t="shared" si="47"/>
        <v/>
      </c>
    </row>
    <row r="240" spans="1:22" x14ac:dyDescent="0.2">
      <c r="B240" s="259"/>
      <c r="C240" s="88"/>
      <c r="D240" s="260"/>
      <c r="E240" s="243"/>
      <c r="F240" s="261"/>
      <c r="G240" s="243"/>
      <c r="H240" s="262"/>
      <c r="I240" s="243"/>
      <c r="J240" s="262"/>
      <c r="K240" s="88"/>
      <c r="L240" s="143">
        <f t="shared" si="43"/>
        <v>0</v>
      </c>
      <c r="N240" s="81"/>
      <c r="R240" s="79" t="str">
        <f t="shared" si="44"/>
        <v>NOT</v>
      </c>
      <c r="S240" s="79" t="str">
        <f t="shared" si="45"/>
        <v>NOT</v>
      </c>
      <c r="T240" s="79" t="str">
        <f t="shared" si="46"/>
        <v>NOT</v>
      </c>
      <c r="V240" s="79" t="str">
        <f t="shared" si="47"/>
        <v/>
      </c>
    </row>
    <row r="241" spans="1:22" x14ac:dyDescent="0.2">
      <c r="B241" s="259"/>
      <c r="C241" s="88"/>
      <c r="D241" s="260"/>
      <c r="E241" s="243"/>
      <c r="F241" s="261"/>
      <c r="G241" s="243"/>
      <c r="H241" s="262"/>
      <c r="I241" s="243"/>
      <c r="J241" s="262"/>
      <c r="K241" s="88"/>
      <c r="L241" s="143">
        <f t="shared" si="43"/>
        <v>0</v>
      </c>
      <c r="N241" s="81"/>
      <c r="R241" s="79" t="str">
        <f t="shared" si="44"/>
        <v>NOT</v>
      </c>
      <c r="S241" s="79" t="str">
        <f t="shared" si="45"/>
        <v>NOT</v>
      </c>
      <c r="T241" s="79" t="str">
        <f t="shared" si="46"/>
        <v>NOT</v>
      </c>
      <c r="V241" s="79" t="str">
        <f t="shared" si="47"/>
        <v/>
      </c>
    </row>
    <row r="242" spans="1:22" x14ac:dyDescent="0.2">
      <c r="B242" s="259"/>
      <c r="C242" s="88"/>
      <c r="D242" s="260"/>
      <c r="E242" s="243"/>
      <c r="F242" s="261"/>
      <c r="G242" s="243"/>
      <c r="H242" s="262"/>
      <c r="I242" s="243"/>
      <c r="J242" s="262"/>
      <c r="K242" s="88"/>
      <c r="L242" s="143">
        <f t="shared" si="43"/>
        <v>0</v>
      </c>
      <c r="N242" s="81"/>
      <c r="R242" s="79" t="str">
        <f t="shared" si="44"/>
        <v>NOT</v>
      </c>
      <c r="S242" s="79" t="str">
        <f t="shared" si="45"/>
        <v>NOT</v>
      </c>
      <c r="T242" s="79" t="str">
        <f t="shared" si="46"/>
        <v>NOT</v>
      </c>
      <c r="V242" s="79" t="str">
        <f t="shared" si="47"/>
        <v/>
      </c>
    </row>
    <row r="243" spans="1:22" x14ac:dyDescent="0.2">
      <c r="B243" s="259"/>
      <c r="C243" s="88"/>
      <c r="D243" s="260"/>
      <c r="E243" s="243"/>
      <c r="F243" s="261"/>
      <c r="G243" s="243"/>
      <c r="H243" s="262"/>
      <c r="I243" s="243"/>
      <c r="J243" s="262"/>
      <c r="K243" s="88"/>
      <c r="L243" s="143">
        <f t="shared" si="43"/>
        <v>0</v>
      </c>
      <c r="N243" s="81"/>
      <c r="R243" s="79" t="str">
        <f t="shared" si="44"/>
        <v>NOT</v>
      </c>
      <c r="S243" s="79" t="str">
        <f t="shared" si="45"/>
        <v>NOT</v>
      </c>
      <c r="T243" s="79" t="str">
        <f t="shared" si="46"/>
        <v>NOT</v>
      </c>
      <c r="V243" s="79" t="str">
        <f t="shared" si="47"/>
        <v/>
      </c>
    </row>
    <row r="244" spans="1:22" x14ac:dyDescent="0.2">
      <c r="B244" s="259"/>
      <c r="C244" s="88"/>
      <c r="D244" s="260"/>
      <c r="E244" s="243"/>
      <c r="F244" s="261"/>
      <c r="G244" s="243"/>
      <c r="H244" s="262"/>
      <c r="I244" s="243"/>
      <c r="J244" s="262"/>
      <c r="K244" s="88"/>
      <c r="L244" s="143">
        <f t="shared" si="43"/>
        <v>0</v>
      </c>
      <c r="N244" s="81"/>
      <c r="R244" s="79" t="str">
        <f t="shared" si="44"/>
        <v>NOT</v>
      </c>
      <c r="S244" s="79" t="str">
        <f t="shared" si="45"/>
        <v>NOT</v>
      </c>
      <c r="T244" s="79" t="str">
        <f t="shared" si="46"/>
        <v>NOT</v>
      </c>
      <c r="V244" s="79" t="str">
        <f t="shared" si="47"/>
        <v/>
      </c>
    </row>
    <row r="245" spans="1:22" x14ac:dyDescent="0.2">
      <c r="B245" s="259"/>
      <c r="C245" s="88"/>
      <c r="D245" s="260"/>
      <c r="E245" s="243"/>
      <c r="F245" s="261"/>
      <c r="G245" s="243"/>
      <c r="H245" s="262"/>
      <c r="I245" s="243"/>
      <c r="J245" s="262"/>
      <c r="K245" s="88"/>
      <c r="L245" s="143">
        <f t="shared" si="43"/>
        <v>0</v>
      </c>
      <c r="N245" s="81"/>
      <c r="R245" s="79" t="str">
        <f t="shared" si="44"/>
        <v>NOT</v>
      </c>
      <c r="S245" s="79" t="str">
        <f t="shared" si="45"/>
        <v>NOT</v>
      </c>
      <c r="T245" s="79" t="str">
        <f t="shared" si="46"/>
        <v>NOT</v>
      </c>
      <c r="V245" s="79" t="str">
        <f t="shared" si="47"/>
        <v/>
      </c>
    </row>
    <row r="246" spans="1:22" x14ac:dyDescent="0.2">
      <c r="B246" s="259"/>
      <c r="C246" s="88"/>
      <c r="D246" s="260"/>
      <c r="E246" s="243"/>
      <c r="F246" s="261"/>
      <c r="G246" s="243"/>
      <c r="H246" s="262"/>
      <c r="I246" s="243"/>
      <c r="J246" s="262"/>
      <c r="K246" s="88"/>
      <c r="L246" s="143">
        <f t="shared" si="43"/>
        <v>0</v>
      </c>
      <c r="N246" s="81"/>
      <c r="R246" s="79" t="str">
        <f t="shared" si="44"/>
        <v>NOT</v>
      </c>
      <c r="S246" s="79" t="str">
        <f t="shared" si="45"/>
        <v>NOT</v>
      </c>
      <c r="T246" s="79" t="str">
        <f t="shared" si="46"/>
        <v>NOT</v>
      </c>
      <c r="V246" s="79" t="str">
        <f t="shared" si="47"/>
        <v/>
      </c>
    </row>
    <row r="247" spans="1:22" x14ac:dyDescent="0.2">
      <c r="B247" s="104"/>
      <c r="C247" s="88"/>
      <c r="D247" s="81"/>
      <c r="F247" s="81"/>
      <c r="H247" s="81"/>
      <c r="J247" s="81"/>
      <c r="K247" s="88"/>
      <c r="L247" s="81"/>
      <c r="N247" s="227"/>
    </row>
    <row r="248" spans="1:22" ht="13.5" customHeight="1" x14ac:dyDescent="0.2">
      <c r="A248" s="276"/>
      <c r="B248" s="278" t="s">
        <v>304</v>
      </c>
      <c r="C248" s="277"/>
      <c r="D248" s="747" t="s">
        <v>166</v>
      </c>
      <c r="E248" s="748"/>
      <c r="F248" s="748"/>
      <c r="G248" s="748"/>
      <c r="H248" s="748"/>
      <c r="I248" s="279"/>
      <c r="J248" s="280" t="s">
        <v>18</v>
      </c>
      <c r="K248" s="88"/>
      <c r="L248" s="156">
        <f>SUM(L255:L258)</f>
        <v>0</v>
      </c>
      <c r="M248" s="246"/>
      <c r="N248" s="147">
        <f>IF(L248=0,0%,L248/L$8)</f>
        <v>0</v>
      </c>
      <c r="O248" s="495">
        <f>IF(LEN(R248)&gt;3,1,0)</f>
        <v>0</v>
      </c>
      <c r="P248" s="270">
        <v>0.1</v>
      </c>
      <c r="Q248" s="231" t="str">
        <f>IF('9. Project budget summary'!X39=1,B249,"")</f>
        <v/>
      </c>
      <c r="R248" s="79" t="str">
        <f>IF(AND(R254="NOT",S254="NOT",T254="NOT"),"NOT",D248)</f>
        <v>NOT</v>
      </c>
    </row>
    <row r="249" spans="1:22" s="76" customFormat="1" ht="27.75" customHeight="1" x14ac:dyDescent="0.2">
      <c r="A249" s="87"/>
      <c r="B249" s="752" t="s">
        <v>643</v>
      </c>
      <c r="C249" s="753"/>
      <c r="D249" s="753"/>
      <c r="E249" s="753"/>
      <c r="F249" s="753"/>
      <c r="G249" s="753"/>
      <c r="H249" s="753"/>
      <c r="I249" s="753"/>
      <c r="J249" s="753"/>
      <c r="K249" s="88"/>
      <c r="L249" s="70"/>
      <c r="M249" s="70"/>
      <c r="N249" s="70"/>
      <c r="O249" s="495">
        <f>IF(LEN(Q248)&gt;3,1,0)</f>
        <v>0</v>
      </c>
      <c r="Q249" s="272"/>
      <c r="V249" s="79"/>
    </row>
    <row r="250" spans="1:22" x14ac:dyDescent="0.2">
      <c r="B250" s="742" t="s">
        <v>197</v>
      </c>
      <c r="C250" s="743"/>
      <c r="D250" s="743"/>
      <c r="E250" s="743"/>
      <c r="F250" s="743"/>
      <c r="H250" s="81"/>
      <c r="J250" s="81"/>
      <c r="K250" s="88"/>
      <c r="L250" s="81"/>
      <c r="N250" s="227"/>
      <c r="R250" s="79" t="str">
        <f>IF(AND(($L248&gt;0),ISBLANK(B252)),B250,"NOT")</f>
        <v>NOT</v>
      </c>
    </row>
    <row r="251" spans="1:22" ht="3" customHeight="1" x14ac:dyDescent="0.2">
      <c r="B251" s="104"/>
      <c r="C251" s="88"/>
      <c r="D251" s="81"/>
      <c r="F251" s="81"/>
      <c r="H251" s="81"/>
      <c r="J251" s="81"/>
      <c r="K251" s="88"/>
      <c r="L251" s="81"/>
      <c r="N251" s="227"/>
    </row>
    <row r="252" spans="1:22" ht="48" customHeight="1" x14ac:dyDescent="0.2">
      <c r="B252" s="744"/>
      <c r="C252" s="745"/>
      <c r="D252" s="745"/>
      <c r="E252" s="745"/>
      <c r="F252" s="745"/>
      <c r="G252" s="745"/>
      <c r="H252" s="745"/>
      <c r="I252" s="745"/>
      <c r="J252" s="745"/>
      <c r="K252" s="745"/>
      <c r="L252" s="746"/>
      <c r="M252" s="70" t="s">
        <v>19</v>
      </c>
      <c r="N252" s="227"/>
    </row>
    <row r="253" spans="1:22" ht="3.75" customHeight="1" x14ac:dyDescent="0.2">
      <c r="B253" s="104"/>
      <c r="C253" s="88"/>
      <c r="D253" s="81"/>
      <c r="F253" s="81"/>
      <c r="H253" s="81"/>
      <c r="J253" s="81"/>
      <c r="K253" s="88"/>
      <c r="L253" s="81"/>
      <c r="N253" s="227"/>
    </row>
    <row r="254" spans="1:22" ht="12.75" customHeight="1" x14ac:dyDescent="0.2">
      <c r="B254" s="244" t="s">
        <v>17</v>
      </c>
      <c r="C254" s="88"/>
      <c r="D254" s="244" t="s">
        <v>580</v>
      </c>
      <c r="F254" s="244" t="s">
        <v>205</v>
      </c>
      <c r="H254" s="244" t="s">
        <v>16</v>
      </c>
      <c r="J254" s="244" t="s">
        <v>15</v>
      </c>
      <c r="K254" s="245"/>
      <c r="L254" s="103" t="s">
        <v>141</v>
      </c>
      <c r="N254" s="81"/>
      <c r="R254" s="255" t="str">
        <f>IF(AND(R255="NOT",R256="NOT",R257="NOT",R258="NOT",R250="NOT"),"NOT",D248)</f>
        <v>NOT</v>
      </c>
      <c r="S254" s="255" t="str">
        <f>IF(AND(S255="NOT",S256="NOT",S257="NOT",S258="NOT",R250="NOT"),"NOT",D248)</f>
        <v>NOT</v>
      </c>
      <c r="T254" s="255" t="str">
        <f>IF(AND(T255="NOT",T256="NOT",T257="NOT",T258="NOT",R250="NOT"),"NOT",D248)</f>
        <v>NOT</v>
      </c>
    </row>
    <row r="255" spans="1:22" x14ac:dyDescent="0.2">
      <c r="B255" s="259"/>
      <c r="C255" s="88"/>
      <c r="D255" s="260"/>
      <c r="E255" s="243"/>
      <c r="F255" s="261"/>
      <c r="G255" s="243"/>
      <c r="H255" s="262"/>
      <c r="I255" s="243"/>
      <c r="J255" s="262"/>
      <c r="K255" s="88"/>
      <c r="L255" s="143">
        <f>TRUNC(H255*J255,2)</f>
        <v>0</v>
      </c>
      <c r="N255" s="81"/>
      <c r="R255" s="79" t="str">
        <f>IF(AND(($L255&gt;0),ISBLANK(B255)),B255,"NOT")</f>
        <v>NOT</v>
      </c>
      <c r="S255" s="79" t="str">
        <f>IF(AND(($L255&gt;0),ISBLANK(D255)),D255,"NOT")</f>
        <v>NOT</v>
      </c>
      <c r="T255" s="79" t="str">
        <f>IF(AND(($L255&gt;0),ISBLANK(F255)),F255,"NOT")</f>
        <v>NOT</v>
      </c>
      <c r="V255" s="79" t="str">
        <f>LEFT(D255,3)</f>
        <v/>
      </c>
    </row>
    <row r="256" spans="1:22" x14ac:dyDescent="0.2">
      <c r="B256" s="259"/>
      <c r="C256" s="88"/>
      <c r="D256" s="260"/>
      <c r="E256" s="243"/>
      <c r="F256" s="261"/>
      <c r="G256" s="243"/>
      <c r="H256" s="262"/>
      <c r="I256" s="243"/>
      <c r="J256" s="262"/>
      <c r="K256" s="88"/>
      <c r="L256" s="143">
        <f>TRUNC(H256*J256,2)</f>
        <v>0</v>
      </c>
      <c r="N256" s="81"/>
      <c r="R256" s="79" t="str">
        <f>IF(AND(($L256&gt;0),ISBLANK(B256)),B256,"NOT")</f>
        <v>NOT</v>
      </c>
      <c r="S256" s="79" t="str">
        <f>IF(AND(($L256&gt;0),ISBLANK(D256)),D256,"NOT")</f>
        <v>NOT</v>
      </c>
      <c r="T256" s="79" t="str">
        <f>IF(AND(($L256&gt;0),ISBLANK(F256)),F256,"NOT")</f>
        <v>NOT</v>
      </c>
      <c r="V256" s="79" t="str">
        <f>LEFT(D256,3)</f>
        <v/>
      </c>
    </row>
    <row r="257" spans="1:22" x14ac:dyDescent="0.2">
      <c r="B257" s="259"/>
      <c r="C257" s="88"/>
      <c r="D257" s="260"/>
      <c r="E257" s="243"/>
      <c r="F257" s="261"/>
      <c r="G257" s="243"/>
      <c r="H257" s="262"/>
      <c r="I257" s="243"/>
      <c r="J257" s="262"/>
      <c r="K257" s="88"/>
      <c r="L257" s="143">
        <f>TRUNC(H257*J257,2)</f>
        <v>0</v>
      </c>
      <c r="N257" s="81"/>
      <c r="R257" s="79" t="str">
        <f>IF(AND(($L257&gt;0),ISBLANK(B257)),B257,"NOT")</f>
        <v>NOT</v>
      </c>
      <c r="S257" s="79" t="str">
        <f>IF(AND(($L257&gt;0),ISBLANK(D257)),D257,"NOT")</f>
        <v>NOT</v>
      </c>
      <c r="T257" s="79" t="str">
        <f>IF(AND(($L257&gt;0),ISBLANK(F257)),F257,"NOT")</f>
        <v>NOT</v>
      </c>
      <c r="V257" s="79" t="str">
        <f>LEFT(D257,3)</f>
        <v/>
      </c>
    </row>
    <row r="258" spans="1:22" x14ac:dyDescent="0.2">
      <c r="B258" s="259"/>
      <c r="C258" s="88"/>
      <c r="D258" s="260"/>
      <c r="E258" s="243"/>
      <c r="F258" s="261"/>
      <c r="G258" s="243"/>
      <c r="H258" s="262"/>
      <c r="I258" s="243"/>
      <c r="J258" s="262"/>
      <c r="K258" s="88"/>
      <c r="L258" s="143">
        <f>TRUNC(H258*J258,2)</f>
        <v>0</v>
      </c>
      <c r="N258" s="81"/>
      <c r="R258" s="79" t="str">
        <f>IF(AND(($L258&gt;0),ISBLANK(B258)),B258,"NOT")</f>
        <v>NOT</v>
      </c>
      <c r="S258" s="79" t="str">
        <f>IF(AND(($L258&gt;0),ISBLANK(D258)),D258,"NOT")</f>
        <v>NOT</v>
      </c>
      <c r="T258" s="79" t="str">
        <f>IF(AND(($L258&gt;0),ISBLANK(F258)),F258,"NOT")</f>
        <v>NOT</v>
      </c>
      <c r="V258" s="79" t="str">
        <f>LEFT(D258,3)</f>
        <v/>
      </c>
    </row>
    <row r="259" spans="1:22" s="76" customFormat="1" ht="12.75" customHeight="1" x14ac:dyDescent="0.2">
      <c r="A259" s="87"/>
      <c r="B259" s="88"/>
      <c r="C259" s="88"/>
      <c r="D259" s="70"/>
      <c r="E259" s="70"/>
      <c r="F259" s="70"/>
      <c r="G259" s="70"/>
      <c r="H259" s="70"/>
      <c r="I259" s="70"/>
      <c r="J259" s="70"/>
      <c r="K259" s="88"/>
      <c r="L259" s="70"/>
      <c r="M259" s="70"/>
      <c r="N259" s="70"/>
      <c r="O259" s="89"/>
      <c r="V259" s="79"/>
    </row>
    <row r="260" spans="1:22" ht="18" customHeight="1" x14ac:dyDescent="0.2">
      <c r="A260" s="263"/>
      <c r="B260" s="264"/>
      <c r="C260" s="265"/>
      <c r="D260" s="266"/>
      <c r="E260" s="267"/>
      <c r="F260" s="266"/>
      <c r="G260" s="267"/>
      <c r="H260" s="266"/>
      <c r="I260" s="267"/>
      <c r="J260" s="266"/>
      <c r="K260" s="265"/>
      <c r="L260" s="266"/>
      <c r="M260" s="267"/>
      <c r="N260" s="268"/>
    </row>
    <row r="261" spans="1:22" hidden="1" x14ac:dyDescent="0.2"/>
    <row r="262" spans="1:22" ht="25.5" hidden="1" x14ac:dyDescent="0.2">
      <c r="C262" s="44" t="str">
        <f>LEFT(D262,3)</f>
        <v xml:space="preserve">1. </v>
      </c>
      <c r="D262" s="465" t="str">
        <f>CONCATENATE('6. Project Activities'!A10," ",'6. Project Activities'!B10)</f>
        <v>1. Project administration and management</v>
      </c>
      <c r="L262" s="44">
        <f t="shared" ref="L262:L285" si="48">SUMIF($V$11:$V$259,C262,$L$11:$L$259)</f>
        <v>0</v>
      </c>
    </row>
    <row r="263" spans="1:22" hidden="1" x14ac:dyDescent="0.2">
      <c r="C263" s="44" t="str">
        <f t="shared" ref="C263:C285" si="49">LEFT(D263,3)</f>
        <v xml:space="preserve">2. </v>
      </c>
      <c r="D263" s="465" t="str">
        <f>CONCATENATE('6. Project Activities'!A11," ",'6. Project Activities'!B11)</f>
        <v>2. Information and publicity</v>
      </c>
      <c r="L263" s="44">
        <f t="shared" si="48"/>
        <v>0</v>
      </c>
    </row>
    <row r="264" spans="1:22" ht="38.25" hidden="1" x14ac:dyDescent="0.2">
      <c r="C264" s="44" t="str">
        <f t="shared" si="49"/>
        <v xml:space="preserve">3. </v>
      </c>
      <c r="D264" s="465" t="str">
        <f>CONCATENATE('6. Project Activities'!A12," ",'6. Project Activities'!B12)</f>
        <v>3. Activity 3.1: Organisation of project conferences and regular press conferences</v>
      </c>
      <c r="L264" s="44">
        <f t="shared" si="48"/>
        <v>0</v>
      </c>
    </row>
    <row r="265" spans="1:22" ht="38.25" hidden="1" x14ac:dyDescent="0.2">
      <c r="C265" s="44" t="str">
        <f t="shared" si="49"/>
        <v xml:space="preserve">4. </v>
      </c>
      <c r="D265" s="465" t="str">
        <f>CONCATENATE('6. Project Activities'!A13," ",'6. Project Activities'!B13)</f>
        <v>4. Activity 3.2: Creation and regular updating of project website, project presence in Social media</v>
      </c>
      <c r="L265" s="44">
        <f t="shared" si="48"/>
        <v>0</v>
      </c>
    </row>
    <row r="266" spans="1:22" ht="25.5" hidden="1" x14ac:dyDescent="0.2">
      <c r="C266" s="44" t="str">
        <f t="shared" si="49"/>
        <v xml:space="preserve">5. </v>
      </c>
      <c r="D266" s="465" t="str">
        <f>CONCATENATE('6. Project Activities'!A14," ",'6. Project Activities'!B14)</f>
        <v>5. Activity 3.3: Development of multilingual mobile App</v>
      </c>
      <c r="L266" s="44">
        <f t="shared" si="48"/>
        <v>0</v>
      </c>
    </row>
    <row r="267" spans="1:22" ht="38.25" hidden="1" x14ac:dyDescent="0.2">
      <c r="C267" s="44" t="str">
        <f t="shared" si="49"/>
        <v xml:space="preserve">6. </v>
      </c>
      <c r="D267" s="465" t="str">
        <f>CONCATENATE('6. Project Activities'!A15," ",'6. Project Activities'!B15)</f>
        <v>6. Activity 3.4: Organisation of local and cross-border events for cyclists</v>
      </c>
      <c r="L267" s="44">
        <f t="shared" si="48"/>
        <v>0</v>
      </c>
    </row>
    <row r="268" spans="1:22" ht="38.25" hidden="1" x14ac:dyDescent="0.2">
      <c r="C268" s="44" t="str">
        <f t="shared" si="49"/>
        <v xml:space="preserve">7. </v>
      </c>
      <c r="D268" s="465" t="str">
        <f>CONCATENATE('6. Project Activities'!A16," ",'6. Project Activities'!B16)</f>
        <v>7. Activity 3.5: Organisation of Summer Cycling Camp for primary school kids in Croatia</v>
      </c>
      <c r="L268" s="44">
        <f t="shared" si="48"/>
        <v>0</v>
      </c>
    </row>
    <row r="269" spans="1:22" ht="38.25" hidden="1" x14ac:dyDescent="0.2">
      <c r="C269" s="44" t="str">
        <f t="shared" si="49"/>
        <v xml:space="preserve">8. </v>
      </c>
      <c r="D269" s="465" t="str">
        <f>CONCATENATE('6. Project Activities'!A17," ",'6. Project Activities'!B17)</f>
        <v>8. Activity 3.6: Organisation of “Safety in traffic for cyclists” workshops</v>
      </c>
      <c r="L269" s="44">
        <f t="shared" si="48"/>
        <v>0</v>
      </c>
    </row>
    <row r="270" spans="1:22" ht="38.25" hidden="1" x14ac:dyDescent="0.2">
      <c r="C270" s="44" t="str">
        <f t="shared" si="49"/>
        <v xml:space="preserve">9. </v>
      </c>
      <c r="D270" s="465" t="str">
        <f>CONCATENATE('6. Project Activities'!A18," ",'6. Project Activities'!B18)</f>
        <v>9. Activity 4.1: Development of missing sections of the bicycle routes in Ludbreg area</v>
      </c>
      <c r="L270" s="44">
        <f t="shared" si="48"/>
        <v>0</v>
      </c>
    </row>
    <row r="271" spans="1:22" ht="38.25" hidden="1" x14ac:dyDescent="0.2">
      <c r="C271" s="44" t="str">
        <f t="shared" si="49"/>
        <v>10.</v>
      </c>
      <c r="D271" s="465" t="str">
        <f>CONCATENATE('6. Project Activities'!A19," ",'6. Project Activities'!B19)</f>
        <v>10. Activity 4.2: Adaptation and arrangement of the part of a local road Ludbreg</v>
      </c>
      <c r="L271" s="44">
        <f t="shared" si="48"/>
        <v>0</v>
      </c>
    </row>
    <row r="272" spans="1:22" ht="25.5" hidden="1" x14ac:dyDescent="0.2">
      <c r="C272" s="44" t="str">
        <f t="shared" si="49"/>
        <v>11.</v>
      </c>
      <c r="D272" s="465" t="str">
        <f>CONCATENATE('6. Project Activities'!A20," ",'6. Project Activities'!B20)</f>
        <v>11. Activity 4.3: Establishment of Cyclist Centre in Letenye</v>
      </c>
      <c r="L272" s="44">
        <f t="shared" si="48"/>
        <v>0</v>
      </c>
    </row>
    <row r="273" spans="3:12" ht="51" hidden="1" x14ac:dyDescent="0.2">
      <c r="C273" s="44" t="str">
        <f t="shared" si="49"/>
        <v>12.</v>
      </c>
      <c r="D273" s="465" t="str">
        <f>CONCATENATE('6. Project Activities'!A21," ",'6. Project Activities'!B21)</f>
        <v>12. Activity 4.4: Preparation of technical documentation for obtaining a building permit for bike paths" - Draškovec Oporovec</v>
      </c>
      <c r="L273" s="44">
        <f t="shared" si="48"/>
        <v>0</v>
      </c>
    </row>
    <row r="274" spans="3:12" ht="38.25" hidden="1" x14ac:dyDescent="0.2">
      <c r="C274" s="44" t="str">
        <f t="shared" si="49"/>
        <v>13.</v>
      </c>
      <c r="D274" s="465" t="str">
        <f>CONCATENATE('6. Project Activities'!A22," ",'6. Project Activities'!B22)</f>
        <v>13. Activity 4.5: Adaptation/reconstruction of the restplace for cyclist in Oporovec</v>
      </c>
      <c r="L274" s="44">
        <f t="shared" si="48"/>
        <v>0</v>
      </c>
    </row>
    <row r="275" spans="3:12" ht="51" hidden="1" x14ac:dyDescent="0.2">
      <c r="C275" s="44" t="str">
        <f t="shared" si="49"/>
        <v>14.</v>
      </c>
      <c r="D275" s="465" t="str">
        <f>CONCATENATE('6. Project Activities'!A23," ",'6. Project Activities'!B23)</f>
        <v>14. Activity 4.6: Establishment of restplaces, info points and installation of information boards alongside the bicycle routes</v>
      </c>
      <c r="L275" s="44">
        <f t="shared" si="48"/>
        <v>0</v>
      </c>
    </row>
    <row r="276" spans="3:12" hidden="1" x14ac:dyDescent="0.2">
      <c r="C276" s="44" t="str">
        <f t="shared" si="49"/>
        <v>15.</v>
      </c>
      <c r="D276" s="465" t="str">
        <f>CONCATENATE('6. Project Activities'!A24," ",'6. Project Activities'!B24)</f>
        <v xml:space="preserve">15. </v>
      </c>
      <c r="L276" s="44">
        <f t="shared" si="48"/>
        <v>0</v>
      </c>
    </row>
    <row r="277" spans="3:12" hidden="1" x14ac:dyDescent="0.2">
      <c r="C277" s="44" t="str">
        <f t="shared" si="49"/>
        <v>16.</v>
      </c>
      <c r="D277" s="465" t="str">
        <f>CONCATENATE('6. Project Activities'!A25," ",'6. Project Activities'!B25)</f>
        <v xml:space="preserve">16. </v>
      </c>
      <c r="L277" s="44">
        <f t="shared" si="48"/>
        <v>0</v>
      </c>
    </row>
    <row r="278" spans="3:12" hidden="1" x14ac:dyDescent="0.2">
      <c r="C278" s="44" t="str">
        <f t="shared" si="49"/>
        <v>17.</v>
      </c>
      <c r="D278" s="465" t="str">
        <f>CONCATENATE('6. Project Activities'!A26," ",'6. Project Activities'!B26)</f>
        <v xml:space="preserve">17. </v>
      </c>
      <c r="L278" s="44">
        <f t="shared" si="48"/>
        <v>0</v>
      </c>
    </row>
    <row r="279" spans="3:12" hidden="1" x14ac:dyDescent="0.2">
      <c r="C279" s="44" t="str">
        <f t="shared" si="49"/>
        <v>18.</v>
      </c>
      <c r="D279" s="465" t="str">
        <f>CONCATENATE('6. Project Activities'!A27," ",'6. Project Activities'!B27)</f>
        <v xml:space="preserve">18. </v>
      </c>
      <c r="L279" s="44">
        <f t="shared" si="48"/>
        <v>0</v>
      </c>
    </row>
    <row r="280" spans="3:12" hidden="1" x14ac:dyDescent="0.2">
      <c r="C280" s="44" t="str">
        <f t="shared" si="49"/>
        <v>19.</v>
      </c>
      <c r="D280" s="465" t="str">
        <f>CONCATENATE('6. Project Activities'!A28," ",'6. Project Activities'!B28)</f>
        <v xml:space="preserve">19. </v>
      </c>
      <c r="L280" s="44">
        <f t="shared" si="48"/>
        <v>0</v>
      </c>
    </row>
    <row r="281" spans="3:12" hidden="1" x14ac:dyDescent="0.2">
      <c r="C281" s="44" t="str">
        <f t="shared" si="49"/>
        <v>20.</v>
      </c>
      <c r="D281" s="465" t="str">
        <f>CONCATENATE('6. Project Activities'!A29," ",'6. Project Activities'!B29)</f>
        <v xml:space="preserve">20. </v>
      </c>
      <c r="L281" s="44">
        <f t="shared" si="48"/>
        <v>0</v>
      </c>
    </row>
    <row r="282" spans="3:12" hidden="1" x14ac:dyDescent="0.2">
      <c r="C282" s="44" t="str">
        <f t="shared" si="49"/>
        <v>21.</v>
      </c>
      <c r="D282" s="465" t="str">
        <f>CONCATENATE('6. Project Activities'!A30," ",'6. Project Activities'!B30)</f>
        <v xml:space="preserve">21. </v>
      </c>
      <c r="L282" s="44">
        <f t="shared" si="48"/>
        <v>0</v>
      </c>
    </row>
    <row r="283" spans="3:12" hidden="1" x14ac:dyDescent="0.2">
      <c r="C283" s="44" t="str">
        <f t="shared" si="49"/>
        <v>22.</v>
      </c>
      <c r="D283" s="465" t="str">
        <f>CONCATENATE('6. Project Activities'!A31," ",'6. Project Activities'!B31)</f>
        <v xml:space="preserve">22. </v>
      </c>
      <c r="L283" s="44">
        <f t="shared" si="48"/>
        <v>0</v>
      </c>
    </row>
    <row r="284" spans="3:12" hidden="1" x14ac:dyDescent="0.2">
      <c r="C284" s="44" t="str">
        <f t="shared" si="49"/>
        <v>23.</v>
      </c>
      <c r="D284" s="465" t="str">
        <f>CONCATENATE('6. Project Activities'!A32," ",'6. Project Activities'!B32)</f>
        <v xml:space="preserve">23. </v>
      </c>
      <c r="L284" s="44">
        <f t="shared" si="48"/>
        <v>0</v>
      </c>
    </row>
    <row r="285" spans="3:12" hidden="1" x14ac:dyDescent="0.2">
      <c r="C285" s="44" t="str">
        <f t="shared" si="49"/>
        <v>24.</v>
      </c>
      <c r="D285" s="465" t="str">
        <f>CONCATENATE('6. Project Activities'!A33," ",'6. Project Activities'!B33)</f>
        <v xml:space="preserve">24. </v>
      </c>
      <c r="L285" s="44">
        <f t="shared" si="48"/>
        <v>0</v>
      </c>
    </row>
    <row r="286" spans="3:12" x14ac:dyDescent="0.2">
      <c r="C286" s="44"/>
    </row>
    <row r="287" spans="3:12" x14ac:dyDescent="0.2">
      <c r="C287" s="44"/>
    </row>
    <row r="288" spans="3:12" x14ac:dyDescent="0.2">
      <c r="C288" s="44"/>
    </row>
    <row r="289" spans="3:3" x14ac:dyDescent="0.2">
      <c r="C289" s="44"/>
    </row>
    <row r="290" spans="3:3" x14ac:dyDescent="0.2">
      <c r="C290" s="44"/>
    </row>
    <row r="291" spans="3:3" x14ac:dyDescent="0.2">
      <c r="C291" s="44"/>
    </row>
  </sheetData>
  <sheetProtection password="F58B" sheet="1" objects="1" scenarios="1" selectLockedCells="1"/>
  <mergeCells count="60">
    <mergeCell ref="B17:L17"/>
    <mergeCell ref="D62:H62"/>
    <mergeCell ref="B48:L48"/>
    <mergeCell ref="B18:F18"/>
    <mergeCell ref="B20:L20"/>
    <mergeCell ref="D40:H40"/>
    <mergeCell ref="D42:H42"/>
    <mergeCell ref="D44:H44"/>
    <mergeCell ref="B46:F46"/>
    <mergeCell ref="A1:B1"/>
    <mergeCell ref="D1:N1"/>
    <mergeCell ref="D14:H14"/>
    <mergeCell ref="B15:L15"/>
    <mergeCell ref="D16:H16"/>
    <mergeCell ref="D3:N3"/>
    <mergeCell ref="D5:N5"/>
    <mergeCell ref="D8:H8"/>
    <mergeCell ref="D10:H10"/>
    <mergeCell ref="D12:H12"/>
    <mergeCell ref="D99:H99"/>
    <mergeCell ref="D80:H80"/>
    <mergeCell ref="B82:F82"/>
    <mergeCell ref="B84:L84"/>
    <mergeCell ref="B64:F64"/>
    <mergeCell ref="B66:L66"/>
    <mergeCell ref="D101:H101"/>
    <mergeCell ref="B103:F103"/>
    <mergeCell ref="B105:L105"/>
    <mergeCell ref="D112:H112"/>
    <mergeCell ref="B114:F114"/>
    <mergeCell ref="B116:L116"/>
    <mergeCell ref="D130:H130"/>
    <mergeCell ref="B132:F132"/>
    <mergeCell ref="B134:L134"/>
    <mergeCell ref="D148:H148"/>
    <mergeCell ref="B149:L149"/>
    <mergeCell ref="B150:F150"/>
    <mergeCell ref="B152:L152"/>
    <mergeCell ref="D162:H162"/>
    <mergeCell ref="B164:F164"/>
    <mergeCell ref="B166:L166"/>
    <mergeCell ref="D174:H174"/>
    <mergeCell ref="B176:F176"/>
    <mergeCell ref="B232:F232"/>
    <mergeCell ref="B178:L178"/>
    <mergeCell ref="D192:H192"/>
    <mergeCell ref="B194:F194"/>
    <mergeCell ref="B196:L196"/>
    <mergeCell ref="D206:H206"/>
    <mergeCell ref="D208:H208"/>
    <mergeCell ref="B210:F210"/>
    <mergeCell ref="B212:L212"/>
    <mergeCell ref="D226:H226"/>
    <mergeCell ref="F228:H228"/>
    <mergeCell ref="D230:H230"/>
    <mergeCell ref="B234:L234"/>
    <mergeCell ref="D248:H248"/>
    <mergeCell ref="B249:J249"/>
    <mergeCell ref="B250:F250"/>
    <mergeCell ref="B252:L252"/>
  </mergeCells>
  <phoneticPr fontId="3" type="noConversion"/>
  <conditionalFormatting sqref="D16:H16 B18:F18 D62:H62 D44:H44 B64:F64 B46:F46 D80:H80 B82:F82 D112:H112 D101:H101 B114:F114 B103:F103 D130:H130 B132:F132 D148:H148 B150:F150 D162:H162 B164:F164 D174:H174 D192:H192 D208:H208 B210:F210 D248:H248 D230:H230 B250:F250 B232:F232">
    <cfRule type="cellIs" dxfId="183" priority="11" stopIfTrue="1" operator="equal">
      <formula>$R16</formula>
    </cfRule>
  </conditionalFormatting>
  <conditionalFormatting sqref="D12:H12 D99:H99 D228:E228">
    <cfRule type="cellIs" dxfId="182" priority="12" stopIfTrue="1" operator="equal">
      <formula>$Q12</formula>
    </cfRule>
  </conditionalFormatting>
  <conditionalFormatting sqref="B149:L149">
    <cfRule type="cellIs" dxfId="181" priority="15" stopIfTrue="1" operator="equal">
      <formula>$Q$149</formula>
    </cfRule>
  </conditionalFormatting>
  <conditionalFormatting sqref="B17:L17">
    <cfRule type="cellIs" dxfId="180" priority="16" stopIfTrue="1" operator="equal">
      <formula>$Q$17</formula>
    </cfRule>
  </conditionalFormatting>
  <conditionalFormatting sqref="F228:H228">
    <cfRule type="cellIs" dxfId="179" priority="21" stopIfTrue="1" operator="equal">
      <formula>$R$228</formula>
    </cfRule>
  </conditionalFormatting>
  <conditionalFormatting sqref="D206:H206">
    <cfRule type="cellIs" dxfId="178" priority="22" stopIfTrue="1" operator="equal">
      <formula>$Q$206</formula>
    </cfRule>
  </conditionalFormatting>
  <conditionalFormatting sqref="D14:H14">
    <cfRule type="cellIs" dxfId="177" priority="10" stopIfTrue="1" operator="equal">
      <formula>$Q14</formula>
    </cfRule>
  </conditionalFormatting>
  <conditionalFormatting sqref="D42:H42">
    <cfRule type="cellIs" dxfId="176" priority="6" stopIfTrue="1" operator="equal">
      <formula>$Q42</formula>
    </cfRule>
  </conditionalFormatting>
  <conditionalFormatting sqref="B15:L15">
    <cfRule type="cellIs" dxfId="175" priority="5" stopIfTrue="1" operator="equal">
      <formula>$P$15</formula>
    </cfRule>
  </conditionalFormatting>
  <conditionalFormatting sqref="B249:J249">
    <cfRule type="cellIs" dxfId="174" priority="4" stopIfTrue="1" operator="equal">
      <formula>$Q$248</formula>
    </cfRule>
  </conditionalFormatting>
  <conditionalFormatting sqref="B194:F194">
    <cfRule type="cellIs" dxfId="173" priority="3" stopIfTrue="1" operator="equal">
      <formula>$R194</formula>
    </cfRule>
  </conditionalFormatting>
  <conditionalFormatting sqref="B176:F176">
    <cfRule type="cellIs" dxfId="172" priority="2" stopIfTrue="1" operator="equal">
      <formula>$R176</formula>
    </cfRule>
  </conditionalFormatting>
  <conditionalFormatting sqref="D8:H8">
    <cfRule type="cellIs" dxfId="171" priority="1" stopIfTrue="1" operator="equal">
      <formula>O$8</formula>
    </cfRule>
  </conditionalFormatting>
  <dataValidations count="5">
    <dataValidation type="list" allowBlank="1" showInputMessage="1" showErrorMessage="1" sqref="D14:H14">
      <formula1>$V$14:$V$16</formula1>
    </dataValidation>
    <dataValidation type="decimal" operator="greaterThanOrEqual" allowBlank="1" showInputMessage="1" showErrorMessage="1" sqref="H237:H246 H199:H203 J169:J172 H169:H172 J155:J160 H137:H146 H108:H110 J108:J110 H87:H96 J87:J96 H69:H78 J69:J78 H51:H60 J51:J60 J23:J37 H23:H37 J137:J146 H119:H128 H155:H160 J119:J128 H181:H190 J181:J190 H215:H224 J215:J224 J199:J203 J237:J246 H255:H258 J255:J258">
      <formula1>0</formula1>
    </dataValidation>
    <dataValidation type="list" allowBlank="1" showInputMessage="1" showErrorMessage="1" sqref="D199:D203 D255:D258 D237:D246 D215:D224 D108:D110 D87:D96 D69:D78 D23:D37 D51:D60 D119:D128 D137:D146 D155:D160 D169:D172 D181:D190">
      <formula1>$D$262:$D$285</formula1>
    </dataValidation>
    <dataValidation type="decimal" allowBlank="1" showInputMessage="1" showErrorMessage="1" sqref="L260 D260 H260 J260 F260 L230 L232:L233 D233 F233 F235 L235 D235 J235 H232:H233 L247:L248 D247 L250:L251 F247 J247 H247 D251 H235 J232:J233 N236:N246 F251 F253 L253 D253 J253 H250:H251 H253 J250:J251 F227 D227 H227 J227 L194:L195 D195 F195 F197 L197 D197 J197 H194:H195 H197 J194:J195 N198:N203 H191 J191 F191 L191:L192 D191 L164:L165 D165 F165 F167 L167 D167 J167 H164:H165 H167 J164:J165 N168:N172 N154:N160 L111:L112 D111 L114:L115 F111 J111 H111 D115 F115 F117 L117 D117 J117 H114:H115 H117 J114:J115 N118:N128 L130 L132:L133 D133 F133 F135 L135 D135 J135 H132:H133 H135 J132:J133 N107:N110 J103:J104 H106 H103:H104 J106 D106 L106 F106 F104 D104 L103:L104 L101 D97:D98 H97:H98 J97:J98 F97:F98 L97:L98 J82:J83 H85 H82:H83 J85 D85 L85 F85 F83 D83 L82:L83 L80 N68:N78 J64:J65 H67 H64:H65 J67 D67 L67 F67 F65 N50:N60 J46:J47 H49 D65 H61 J61 F61 L64:L65 D61 L61:L62 H46:H47 J49 D49 L49 F49 F47 D47 L46:L47 L44 N86:N96 D41 H41 J41 F41 N254:N258 L16 H18:H19 D11 H11 J11 F11 L11 D19 L18:L19 H21 J18:J19 J21 D21 L21 F21 N136:N146 J150:J151 H153 H150:H151 J153 D153 L153 F153 F151 D151 L150:L151 L148 F19 J176:J177 H179 H176:H177 J179 D179 L179 F179 F177 D177 L176:L177 L174 N180:N190 H204:H205 D204:D205 L204:L205 F204:F205 J204:J205 N214:N224 J210:J211 H213 H225 J225 F225 D225 L225:L227 H210:H211 J213 D213 L213 F213 F211 D211 L210:L211 L208 N22:N37 F38:F39 J38:J39 H38:H39 D38:D39 L38:L39 L41 L162 L14">
      <formula1>0</formula1>
      <formula2>99999999.99</formula2>
    </dataValidation>
    <dataValidation type="whole" allowBlank="1" showInputMessage="1" showErrorMessage="1" sqref="L10">
      <formula1>0</formula1>
      <formula2>3000</formula2>
    </dataValidation>
  </dataValidations>
  <pageMargins left="0.6692913385826772" right="0.15748031496062992" top="0.31496062992125984" bottom="0.31496062992125984" header="0.15748031496062992" footer="0.11811023622047245"/>
  <pageSetup scale="82" fitToHeight="12" orientation="landscape"/>
  <headerFooter>
    <oddFooter xml:space="preserve">&amp;C&amp;"Arial,Italic"&amp;A&amp;R&amp;"Arial,Italic"Page &amp;P of &amp;N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1"/>
  <sheetViews>
    <sheetView workbookViewId="0">
      <selection activeCell="L10" sqref="L10"/>
    </sheetView>
  </sheetViews>
  <sheetFormatPr defaultColWidth="9.140625" defaultRowHeight="12.75" x14ac:dyDescent="0.2"/>
  <cols>
    <col min="1" max="1" width="2.85546875" style="80" customWidth="1"/>
    <col min="2" max="2" width="45.7109375" style="44" customWidth="1"/>
    <col min="3" max="3" width="0.42578125" style="70" customWidth="1"/>
    <col min="4" max="4" width="30.7109375" style="44" customWidth="1"/>
    <col min="5" max="5" width="0.42578125" style="70" customWidth="1"/>
    <col min="6" max="6" width="16.42578125" style="44" customWidth="1"/>
    <col min="7" max="7" width="0.42578125" style="70" customWidth="1"/>
    <col min="8" max="8" width="10.7109375" style="44" customWidth="1"/>
    <col min="9" max="9" width="0.42578125" style="70" customWidth="1"/>
    <col min="10" max="10" width="15" style="44" customWidth="1"/>
    <col min="11" max="11" width="0.42578125" style="70" customWidth="1"/>
    <col min="12" max="12" width="13.7109375" style="44" customWidth="1"/>
    <col min="13" max="13" width="0.42578125" style="70" customWidth="1"/>
    <col min="14" max="14" width="9" style="44" customWidth="1"/>
    <col min="15" max="15" width="34.28515625" style="85" hidden="1" customWidth="1"/>
    <col min="16" max="16" width="9.140625" style="79" hidden="1" customWidth="1"/>
    <col min="17" max="17" width="15.42578125" style="79" hidden="1" customWidth="1"/>
    <col min="18" max="22" width="9.140625" style="79" hidden="1" customWidth="1"/>
    <col min="23" max="16384" width="9.140625" style="79"/>
  </cols>
  <sheetData>
    <row r="1" spans="1:29" ht="22.5" customHeight="1" x14ac:dyDescent="0.2">
      <c r="A1" s="738" t="s">
        <v>333</v>
      </c>
      <c r="B1" s="739"/>
      <c r="C1" s="256"/>
      <c r="D1" s="740" t="str">
        <f>CONCATENATE("B5 - ",P5)</f>
        <v xml:space="preserve">B5 - </v>
      </c>
      <c r="E1" s="741"/>
      <c r="F1" s="741"/>
      <c r="G1" s="741"/>
      <c r="H1" s="741"/>
      <c r="I1" s="741"/>
      <c r="J1" s="741"/>
      <c r="K1" s="741"/>
      <c r="L1" s="741"/>
      <c r="M1" s="741"/>
      <c r="N1" s="741"/>
      <c r="R1" s="79" t="s">
        <v>167</v>
      </c>
      <c r="S1" s="79" t="s">
        <v>167</v>
      </c>
      <c r="T1" s="79" t="s">
        <v>167</v>
      </c>
    </row>
    <row r="2" spans="1:29" x14ac:dyDescent="0.2">
      <c r="C2" s="44"/>
      <c r="E2" s="44"/>
      <c r="G2" s="44"/>
      <c r="I2" s="44"/>
      <c r="K2" s="44"/>
      <c r="M2" s="44"/>
      <c r="O2" s="44"/>
      <c r="P2" s="44"/>
      <c r="Q2" s="44"/>
      <c r="R2" s="44"/>
      <c r="S2" s="44"/>
      <c r="T2" s="44"/>
      <c r="U2" s="44"/>
      <c r="V2" s="44"/>
      <c r="W2" s="44"/>
      <c r="X2" s="44"/>
      <c r="Y2" s="44"/>
      <c r="Z2" s="44"/>
      <c r="AA2" s="44"/>
      <c r="AB2" s="44"/>
      <c r="AC2" s="44"/>
    </row>
    <row r="3" spans="1:29" x14ac:dyDescent="0.2">
      <c r="B3" s="101" t="s">
        <v>139</v>
      </c>
      <c r="C3" s="44"/>
      <c r="D3" s="712" t="str">
        <f>T('1. General Data'!C14:M14)</f>
        <v>Happy Bike</v>
      </c>
      <c r="E3" s="713"/>
      <c r="F3" s="713"/>
      <c r="G3" s="713"/>
      <c r="H3" s="713"/>
      <c r="I3" s="713"/>
      <c r="J3" s="713"/>
      <c r="K3" s="713"/>
      <c r="L3" s="713"/>
      <c r="M3" s="713"/>
      <c r="N3" s="714"/>
      <c r="O3" s="44"/>
      <c r="P3" s="44"/>
      <c r="Q3" s="44"/>
      <c r="R3" s="44"/>
      <c r="S3" s="44"/>
      <c r="T3" s="44"/>
      <c r="U3" s="44"/>
      <c r="V3" s="44"/>
      <c r="W3" s="44"/>
      <c r="X3" s="44"/>
      <c r="Y3" s="44"/>
      <c r="Z3" s="44"/>
      <c r="AA3" s="44"/>
      <c r="AB3" s="44"/>
      <c r="AC3" s="44"/>
    </row>
    <row r="4" spans="1:29" ht="6" customHeight="1" x14ac:dyDescent="0.2">
      <c r="C4" s="44"/>
      <c r="E4" s="44"/>
      <c r="G4" s="44"/>
      <c r="I4" s="44"/>
      <c r="K4" s="44"/>
      <c r="M4" s="44"/>
      <c r="O4" s="44"/>
      <c r="P4" s="44"/>
      <c r="Q4" s="44"/>
      <c r="R4" s="44"/>
      <c r="S4" s="44"/>
      <c r="T4" s="44"/>
      <c r="U4" s="44"/>
      <c r="V4" s="44"/>
      <c r="W4" s="44"/>
      <c r="X4" s="44"/>
      <c r="Y4" s="44"/>
      <c r="Z4" s="44"/>
      <c r="AA4" s="44"/>
      <c r="AB4" s="44"/>
      <c r="AC4" s="44"/>
    </row>
    <row r="5" spans="1:29" x14ac:dyDescent="0.2">
      <c r="B5" s="101" t="s">
        <v>138</v>
      </c>
      <c r="C5" s="44"/>
      <c r="D5" s="712" t="str">
        <f>T(LEFT('2. LB data'!C5,80))</f>
        <v>Letenye Város Önkormányzata</v>
      </c>
      <c r="E5" s="713"/>
      <c r="F5" s="713"/>
      <c r="G5" s="713"/>
      <c r="H5" s="713"/>
      <c r="I5" s="713"/>
      <c r="J5" s="713"/>
      <c r="K5" s="713"/>
      <c r="L5" s="713"/>
      <c r="M5" s="713"/>
      <c r="N5" s="714"/>
      <c r="O5" s="44"/>
      <c r="P5" s="236" t="str">
        <f>LEFT('2. B5 data'!C5,80)</f>
        <v/>
      </c>
      <c r="Q5" s="44"/>
      <c r="R5" s="44"/>
      <c r="S5" s="44"/>
      <c r="T5" s="44"/>
      <c r="U5" s="44"/>
      <c r="V5" s="44"/>
      <c r="W5" s="44"/>
      <c r="X5" s="44"/>
      <c r="Y5" s="44"/>
      <c r="Z5" s="44"/>
      <c r="AA5" s="44"/>
      <c r="AB5" s="44"/>
      <c r="AC5" s="44"/>
    </row>
    <row r="6" spans="1:29" x14ac:dyDescent="0.2">
      <c r="B6" s="152"/>
      <c r="D6" s="152"/>
      <c r="F6" s="152"/>
      <c r="H6" s="152"/>
      <c r="J6" s="152"/>
      <c r="L6" s="152"/>
    </row>
    <row r="7" spans="1:29" x14ac:dyDescent="0.2">
      <c r="B7" s="152"/>
      <c r="D7" s="152"/>
      <c r="F7" s="152"/>
      <c r="H7" s="152"/>
      <c r="J7" s="152"/>
      <c r="L7" s="152"/>
    </row>
    <row r="8" spans="1:29" ht="28.5" customHeight="1" x14ac:dyDescent="0.2">
      <c r="A8" s="269" t="s">
        <v>30</v>
      </c>
      <c r="B8" s="289" t="s">
        <v>39</v>
      </c>
      <c r="C8" s="281"/>
      <c r="D8" s="767" t="s">
        <v>652</v>
      </c>
      <c r="E8" s="768"/>
      <c r="F8" s="768"/>
      <c r="G8" s="768"/>
      <c r="H8" s="769"/>
      <c r="I8" s="281"/>
      <c r="J8" s="289" t="s">
        <v>18</v>
      </c>
      <c r="K8" s="282"/>
      <c r="L8" s="284">
        <f>L10+L12+L40+L42+L99+L206+L228</f>
        <v>0</v>
      </c>
      <c r="M8" s="283"/>
      <c r="N8" s="290">
        <f>IF(L$8=0,0%,L8/L$8)</f>
        <v>0</v>
      </c>
      <c r="O8" s="85">
        <f>IF(O10&gt;0,D8,0)</f>
        <v>0</v>
      </c>
      <c r="P8" s="231"/>
      <c r="Q8" s="231" t="str">
        <f>IF(AND(Q10=P8,Q17=P8,Q149=P8,Q248=P8)," ",D8)</f>
        <v xml:space="preserve"> </v>
      </c>
    </row>
    <row r="9" spans="1:29" s="76" customFormat="1" ht="3" customHeight="1" x14ac:dyDescent="0.2">
      <c r="A9" s="87"/>
      <c r="B9" s="88"/>
      <c r="C9" s="88"/>
      <c r="D9" s="70"/>
      <c r="E9" s="70"/>
      <c r="F9" s="70"/>
      <c r="G9" s="70"/>
      <c r="H9" s="70"/>
      <c r="I9" s="70"/>
      <c r="J9" s="70"/>
      <c r="K9" s="88"/>
      <c r="L9" s="281"/>
      <c r="M9" s="70"/>
      <c r="N9" s="70"/>
      <c r="O9" s="89"/>
    </row>
    <row r="10" spans="1:29" ht="27" customHeight="1" x14ac:dyDescent="0.2">
      <c r="A10" s="247">
        <v>1</v>
      </c>
      <c r="B10" s="248" t="s">
        <v>60</v>
      </c>
      <c r="C10" s="249"/>
      <c r="D10" s="764" t="s">
        <v>280</v>
      </c>
      <c r="E10" s="765"/>
      <c r="F10" s="765"/>
      <c r="G10" s="765"/>
      <c r="H10" s="766"/>
      <c r="I10" s="250"/>
      <c r="J10" s="251" t="s">
        <v>18</v>
      </c>
      <c r="K10" s="249"/>
      <c r="L10" s="357">
        <v>0</v>
      </c>
      <c r="M10" s="287"/>
      <c r="N10" s="288">
        <f>IF(L10=0,0%,L10/L$8)</f>
        <v>0</v>
      </c>
      <c r="O10" s="497">
        <f>SUM(O11:O260)</f>
        <v>0</v>
      </c>
      <c r="P10" s="231"/>
      <c r="Q10" s="231" t="str">
        <f>IF(N10&gt;P10,D10,"")</f>
        <v/>
      </c>
    </row>
    <row r="11" spans="1:29" x14ac:dyDescent="0.2">
      <c r="B11" s="104"/>
      <c r="C11" s="88"/>
      <c r="D11" s="81"/>
      <c r="F11" s="81"/>
      <c r="H11" s="81"/>
      <c r="J11" s="81"/>
      <c r="K11" s="88"/>
      <c r="L11" s="81"/>
      <c r="N11" s="227"/>
    </row>
    <row r="12" spans="1:29" ht="27" customHeight="1" x14ac:dyDescent="0.2">
      <c r="A12" s="247">
        <v>2</v>
      </c>
      <c r="B12" s="248" t="s">
        <v>285</v>
      </c>
      <c r="C12" s="249"/>
      <c r="D12" s="770" t="str">
        <f>IF(AND(L14&gt;0,L16&gt;0),"Calculation of staff costs should be either on flat rate or on real cost basis (both options cannot be used together)!"," ")</f>
        <v xml:space="preserve"> </v>
      </c>
      <c r="E12" s="771"/>
      <c r="F12" s="771"/>
      <c r="G12" s="771"/>
      <c r="H12" s="772"/>
      <c r="I12" s="250"/>
      <c r="J12" s="251" t="s">
        <v>18</v>
      </c>
      <c r="K12" s="249"/>
      <c r="L12" s="252">
        <f>IF(L14&gt;0,L14,L16)</f>
        <v>0</v>
      </c>
      <c r="M12" s="250"/>
      <c r="N12" s="253">
        <f>IF(L12=0,0%,L12/L$8)</f>
        <v>0</v>
      </c>
      <c r="O12" s="495">
        <f>IF(LEN(D12)&gt;1,1,0)</f>
        <v>0</v>
      </c>
      <c r="P12" s="95"/>
    </row>
    <row r="13" spans="1:29" s="76" customFormat="1" ht="7.5" customHeight="1" x14ac:dyDescent="0.2">
      <c r="A13" s="87"/>
      <c r="B13" s="88"/>
      <c r="C13" s="88"/>
      <c r="D13" s="70"/>
      <c r="E13" s="70"/>
      <c r="F13" s="70"/>
      <c r="G13" s="70"/>
      <c r="H13" s="70"/>
      <c r="I13" s="70"/>
      <c r="J13" s="70"/>
      <c r="K13" s="88"/>
      <c r="L13" s="70"/>
      <c r="M13" s="70"/>
      <c r="N13" s="70"/>
      <c r="O13" s="89"/>
      <c r="V13" s="79"/>
    </row>
    <row r="14" spans="1:29" ht="25.5" x14ac:dyDescent="0.2">
      <c r="A14" s="347"/>
      <c r="B14" s="348" t="s">
        <v>313</v>
      </c>
      <c r="C14" s="345"/>
      <c r="D14" s="777" t="s">
        <v>282</v>
      </c>
      <c r="E14" s="778"/>
      <c r="F14" s="778"/>
      <c r="G14" s="778"/>
      <c r="H14" s="779"/>
      <c r="I14" s="346"/>
      <c r="J14" s="349" t="s">
        <v>18</v>
      </c>
      <c r="K14" s="88"/>
      <c r="L14" s="156">
        <f>FLOOR(IF(D14=V15,IF((L228&gt;0),IF((L99+L208+L228)*0.1&gt;P14,P14,(L99+L208+L228)*0.1),IF((L99+L208+L228)*0.2&gt;P14,P14,(L99+L208+L228)*0.2)),0),0.01)</f>
        <v>0</v>
      </c>
      <c r="M14" s="246"/>
      <c r="N14" s="147">
        <f>IF(L14=0,0%,L14/L$8)</f>
        <v>0</v>
      </c>
      <c r="O14" s="353"/>
      <c r="P14" s="356">
        <v>100000</v>
      </c>
      <c r="Q14" s="231" t="str">
        <f>IF(L14&gt;P14,D14,"")</f>
        <v/>
      </c>
      <c r="R14" s="79" t="e">
        <f>IF(AND(R20="NOT",R21="NOT",R22="NOT",R23="NOT",R24="NOT",R25="NOT",S20="NOT",S21="NOT",S22="NOT",S23="NOT",S24="NOT",S25="NOT",T20="NOT",T21="NOT",T22="NOT",T23="NOT",T24="NOT",T25="NOT",#REF!="NOT"),"NOT",D14)</f>
        <v>#REF!</v>
      </c>
      <c r="V14" s="79" t="s">
        <v>282</v>
      </c>
    </row>
    <row r="15" spans="1:29" s="76" customFormat="1" ht="27" customHeight="1" x14ac:dyDescent="0.2">
      <c r="A15" s="87"/>
      <c r="B15" s="780" t="s">
        <v>599</v>
      </c>
      <c r="C15" s="781"/>
      <c r="D15" s="781"/>
      <c r="E15" s="781"/>
      <c r="F15" s="781"/>
      <c r="G15" s="781"/>
      <c r="H15" s="781"/>
      <c r="I15" s="781"/>
      <c r="J15" s="781"/>
      <c r="K15" s="781"/>
      <c r="L15" s="781"/>
      <c r="M15" s="70"/>
      <c r="N15" s="70"/>
      <c r="O15" s="353"/>
      <c r="P15" s="354"/>
      <c r="Q15" s="355"/>
      <c r="V15" s="79" t="s">
        <v>644</v>
      </c>
    </row>
    <row r="16" spans="1:29" ht="25.5" customHeight="1" x14ac:dyDescent="0.2">
      <c r="A16" s="347"/>
      <c r="B16" s="348" t="s">
        <v>281</v>
      </c>
      <c r="C16" s="345"/>
      <c r="D16" s="773" t="s">
        <v>166</v>
      </c>
      <c r="E16" s="774"/>
      <c r="F16" s="774"/>
      <c r="G16" s="774"/>
      <c r="H16" s="775"/>
      <c r="I16" s="346"/>
      <c r="J16" s="349" t="s">
        <v>18</v>
      </c>
      <c r="K16" s="88"/>
      <c r="L16" s="156">
        <f>SUM(L23:L37)</f>
        <v>0</v>
      </c>
      <c r="M16" s="246"/>
      <c r="N16" s="147">
        <f>IF(L16=0,0%,L16/L$8)</f>
        <v>0</v>
      </c>
      <c r="O16" s="495">
        <f>IF(LEN(R16)&gt;3,1,0)</f>
        <v>0</v>
      </c>
      <c r="R16" s="494" t="str">
        <f>IF(AND(R22="NOT",S22="NOT",T22="NOT",R18="NOT"),"NOT",D16)</f>
        <v>NOT</v>
      </c>
      <c r="V16" s="79" t="s">
        <v>283</v>
      </c>
    </row>
    <row r="17" spans="1:22" s="76" customFormat="1" ht="15" customHeight="1" x14ac:dyDescent="0.2">
      <c r="A17" s="87"/>
      <c r="B17" s="752"/>
      <c r="C17" s="776"/>
      <c r="D17" s="776"/>
      <c r="E17" s="776"/>
      <c r="F17" s="776"/>
      <c r="G17" s="776"/>
      <c r="H17" s="776"/>
      <c r="I17" s="776"/>
      <c r="J17" s="776"/>
      <c r="K17" s="776"/>
      <c r="L17" s="776"/>
      <c r="M17" s="70"/>
      <c r="N17" s="70"/>
      <c r="O17" s="353"/>
      <c r="P17" s="271"/>
      <c r="Q17" s="231"/>
      <c r="V17" s="79"/>
    </row>
    <row r="18" spans="1:22" x14ac:dyDescent="0.2">
      <c r="B18" s="742" t="s">
        <v>84</v>
      </c>
      <c r="C18" s="743"/>
      <c r="D18" s="743"/>
      <c r="E18" s="743"/>
      <c r="F18" s="743"/>
      <c r="H18" s="81"/>
      <c r="J18" s="81"/>
      <c r="K18" s="88"/>
      <c r="L18" s="81"/>
      <c r="N18" s="227"/>
      <c r="R18" s="494" t="str">
        <f>IF(AND(($L16&gt;0),ISBLANK(B20)),B18,"NOT")</f>
        <v>NOT</v>
      </c>
    </row>
    <row r="19" spans="1:22" ht="3" customHeight="1" x14ac:dyDescent="0.2">
      <c r="B19" s="104"/>
      <c r="C19" s="88"/>
      <c r="D19" s="81"/>
      <c r="F19" s="81"/>
      <c r="H19" s="81"/>
      <c r="J19" s="81"/>
      <c r="K19" s="88"/>
      <c r="L19" s="81"/>
      <c r="N19" s="227"/>
    </row>
    <row r="20" spans="1:22" ht="81" customHeight="1" x14ac:dyDescent="0.2">
      <c r="B20" s="744"/>
      <c r="C20" s="745"/>
      <c r="D20" s="745"/>
      <c r="E20" s="745"/>
      <c r="F20" s="745"/>
      <c r="G20" s="745"/>
      <c r="H20" s="745"/>
      <c r="I20" s="745"/>
      <c r="J20" s="745"/>
      <c r="K20" s="745"/>
      <c r="L20" s="746"/>
      <c r="M20" s="70" t="s">
        <v>19</v>
      </c>
      <c r="N20" s="227"/>
    </row>
    <row r="21" spans="1:22" ht="3.75" customHeight="1" x14ac:dyDescent="0.2">
      <c r="B21" s="104"/>
      <c r="C21" s="88"/>
      <c r="D21" s="81"/>
      <c r="F21" s="81"/>
      <c r="H21" s="81"/>
      <c r="J21" s="81"/>
      <c r="K21" s="88"/>
      <c r="L21" s="81"/>
      <c r="N21" s="227"/>
    </row>
    <row r="22" spans="1:22" ht="38.25" x14ac:dyDescent="0.2">
      <c r="B22" s="244" t="s">
        <v>201</v>
      </c>
      <c r="C22" s="88"/>
      <c r="D22" s="244" t="s">
        <v>580</v>
      </c>
      <c r="F22" s="244" t="s">
        <v>205</v>
      </c>
      <c r="H22" s="244" t="s">
        <v>16</v>
      </c>
      <c r="J22" s="244" t="s">
        <v>15</v>
      </c>
      <c r="K22" s="245"/>
      <c r="L22" s="103" t="s">
        <v>141</v>
      </c>
      <c r="N22" s="81"/>
      <c r="R22" s="496" t="str">
        <f>IF(AND(R23="NOT",R24="NOT",R25="NOT",R26="NOT",R27="NOT",R28="NOT",R29="NOT",R30="NOT",R31="NOT",R32="NOT",R33="NOT",R34="NOT",R35="NOT",R36="NOT",R37="NOT"),"NOT",1)</f>
        <v>NOT</v>
      </c>
      <c r="S22" s="496" t="str">
        <f>IF(AND(S23="NOT",S24="NOT",S25="NOT",S26="NOT",S27="NOT",S28="NOT",S29="NOT",S30="NOT",S31="NOT",S32="NOT",S33="NOT",S34="NOT",S35="NOT",S36="NOT",S37="NOT"),"NOT",1)</f>
        <v>NOT</v>
      </c>
      <c r="T22" s="496" t="str">
        <f>IF(AND(T23="NOT",T24="NOT",T25="NOT",T26="NOT",T27="NOT",T28="NOT",T29="NOT",T30="NOT",T31="NOT",T32="NOT",T33="NOT",T34="NOT",T35="NOT",T36="NOT",T37="NOT"),"NOT",1)</f>
        <v>NOT</v>
      </c>
    </row>
    <row r="23" spans="1:22" x14ac:dyDescent="0.2">
      <c r="B23" s="259"/>
      <c r="C23" s="88"/>
      <c r="D23" s="260"/>
      <c r="E23" s="243"/>
      <c r="F23" s="261" t="s">
        <v>85</v>
      </c>
      <c r="G23" s="243"/>
      <c r="H23" s="262"/>
      <c r="I23" s="243"/>
      <c r="J23" s="262"/>
      <c r="K23" s="88"/>
      <c r="L23" s="143">
        <f t="shared" ref="L23:L37" si="0">TRUNC(H23*J23,2)</f>
        <v>0</v>
      </c>
      <c r="N23" s="81"/>
      <c r="R23" s="79" t="str">
        <f t="shared" ref="R23:R37" si="1">IF(AND(($L23&gt;0),ISBLANK(B23)),B23,"NOT")</f>
        <v>NOT</v>
      </c>
      <c r="S23" s="79" t="str">
        <f t="shared" ref="S23:S37" si="2">IF(AND(($L23&gt;0),ISBLANK(D23)),D23,"NOT")</f>
        <v>NOT</v>
      </c>
      <c r="T23" s="79" t="str">
        <f t="shared" ref="T23:T37" si="3">IF(AND(($L23&gt;0),ISBLANK(F23)),F23,"NOT")</f>
        <v>NOT</v>
      </c>
      <c r="V23" s="79" t="str">
        <f>LEFT(D23,3)</f>
        <v/>
      </c>
    </row>
    <row r="24" spans="1:22" x14ac:dyDescent="0.2">
      <c r="B24" s="259"/>
      <c r="C24" s="88"/>
      <c r="D24" s="260"/>
      <c r="E24" s="243"/>
      <c r="F24" s="261" t="s">
        <v>85</v>
      </c>
      <c r="G24" s="243"/>
      <c r="H24" s="262"/>
      <c r="I24" s="243"/>
      <c r="J24" s="262"/>
      <c r="K24" s="88"/>
      <c r="L24" s="143">
        <f t="shared" si="0"/>
        <v>0</v>
      </c>
      <c r="N24" s="81"/>
      <c r="R24" s="79" t="str">
        <f t="shared" si="1"/>
        <v>NOT</v>
      </c>
      <c r="S24" s="79" t="str">
        <f t="shared" si="2"/>
        <v>NOT</v>
      </c>
      <c r="T24" s="79" t="str">
        <f t="shared" si="3"/>
        <v>NOT</v>
      </c>
      <c r="V24" s="79" t="str">
        <f t="shared" ref="V24:V78" si="4">LEFT(D24,3)</f>
        <v/>
      </c>
    </row>
    <row r="25" spans="1:22" x14ac:dyDescent="0.2">
      <c r="B25" s="259"/>
      <c r="C25" s="88"/>
      <c r="D25" s="260"/>
      <c r="E25" s="243"/>
      <c r="F25" s="261" t="s">
        <v>85</v>
      </c>
      <c r="G25" s="243"/>
      <c r="H25" s="262"/>
      <c r="I25" s="243"/>
      <c r="J25" s="262"/>
      <c r="K25" s="88"/>
      <c r="L25" s="143">
        <f t="shared" si="0"/>
        <v>0</v>
      </c>
      <c r="N25" s="81"/>
      <c r="R25" s="79" t="str">
        <f t="shared" si="1"/>
        <v>NOT</v>
      </c>
      <c r="S25" s="79" t="str">
        <f t="shared" si="2"/>
        <v>NOT</v>
      </c>
      <c r="T25" s="79" t="str">
        <f t="shared" si="3"/>
        <v>NOT</v>
      </c>
      <c r="V25" s="79" t="str">
        <f t="shared" si="4"/>
        <v/>
      </c>
    </row>
    <row r="26" spans="1:22" x14ac:dyDescent="0.2">
      <c r="B26" s="259"/>
      <c r="C26" s="88"/>
      <c r="D26" s="260"/>
      <c r="E26" s="243"/>
      <c r="F26" s="261" t="s">
        <v>85</v>
      </c>
      <c r="G26" s="243"/>
      <c r="H26" s="262"/>
      <c r="I26" s="243"/>
      <c r="J26" s="262"/>
      <c r="K26" s="88"/>
      <c r="L26" s="143">
        <f t="shared" si="0"/>
        <v>0</v>
      </c>
      <c r="N26" s="81"/>
      <c r="R26" s="79" t="str">
        <f t="shared" si="1"/>
        <v>NOT</v>
      </c>
      <c r="S26" s="79" t="str">
        <f t="shared" si="2"/>
        <v>NOT</v>
      </c>
      <c r="T26" s="79" t="str">
        <f t="shared" si="3"/>
        <v>NOT</v>
      </c>
      <c r="V26" s="79" t="str">
        <f t="shared" si="4"/>
        <v/>
      </c>
    </row>
    <row r="27" spans="1:22" x14ac:dyDescent="0.2">
      <c r="B27" s="259"/>
      <c r="C27" s="88"/>
      <c r="D27" s="260"/>
      <c r="E27" s="243"/>
      <c r="F27" s="261" t="s">
        <v>85</v>
      </c>
      <c r="G27" s="243"/>
      <c r="H27" s="262"/>
      <c r="I27" s="243"/>
      <c r="J27" s="262"/>
      <c r="K27" s="88"/>
      <c r="L27" s="143">
        <f t="shared" si="0"/>
        <v>0</v>
      </c>
      <c r="N27" s="81"/>
      <c r="R27" s="79" t="str">
        <f t="shared" si="1"/>
        <v>NOT</v>
      </c>
      <c r="S27" s="79" t="str">
        <f t="shared" si="2"/>
        <v>NOT</v>
      </c>
      <c r="T27" s="79" t="str">
        <f t="shared" si="3"/>
        <v>NOT</v>
      </c>
      <c r="V27" s="79" t="str">
        <f t="shared" si="4"/>
        <v/>
      </c>
    </row>
    <row r="28" spans="1:22" x14ac:dyDescent="0.2">
      <c r="B28" s="259"/>
      <c r="C28" s="88"/>
      <c r="D28" s="260"/>
      <c r="E28" s="243"/>
      <c r="F28" s="261" t="s">
        <v>85</v>
      </c>
      <c r="G28" s="243"/>
      <c r="H28" s="262"/>
      <c r="I28" s="243"/>
      <c r="J28" s="262"/>
      <c r="K28" s="88"/>
      <c r="L28" s="143">
        <f t="shared" si="0"/>
        <v>0</v>
      </c>
      <c r="N28" s="81"/>
      <c r="R28" s="79" t="str">
        <f t="shared" si="1"/>
        <v>NOT</v>
      </c>
      <c r="S28" s="79" t="str">
        <f t="shared" si="2"/>
        <v>NOT</v>
      </c>
      <c r="T28" s="79" t="str">
        <f t="shared" si="3"/>
        <v>NOT</v>
      </c>
      <c r="V28" s="79" t="str">
        <f t="shared" si="4"/>
        <v/>
      </c>
    </row>
    <row r="29" spans="1:22" x14ac:dyDescent="0.2">
      <c r="B29" s="259"/>
      <c r="C29" s="88"/>
      <c r="D29" s="260"/>
      <c r="E29" s="243"/>
      <c r="F29" s="261" t="s">
        <v>85</v>
      </c>
      <c r="G29" s="243"/>
      <c r="H29" s="262"/>
      <c r="I29" s="243"/>
      <c r="J29" s="262"/>
      <c r="K29" s="88"/>
      <c r="L29" s="143">
        <f t="shared" si="0"/>
        <v>0</v>
      </c>
      <c r="N29" s="81"/>
      <c r="R29" s="79" t="str">
        <f t="shared" si="1"/>
        <v>NOT</v>
      </c>
      <c r="S29" s="79" t="str">
        <f t="shared" si="2"/>
        <v>NOT</v>
      </c>
      <c r="T29" s="79" t="str">
        <f t="shared" si="3"/>
        <v>NOT</v>
      </c>
      <c r="V29" s="79" t="str">
        <f t="shared" si="4"/>
        <v/>
      </c>
    </row>
    <row r="30" spans="1:22" x14ac:dyDescent="0.2">
      <c r="B30" s="259"/>
      <c r="C30" s="88"/>
      <c r="D30" s="260"/>
      <c r="E30" s="243"/>
      <c r="F30" s="261" t="s">
        <v>85</v>
      </c>
      <c r="G30" s="243"/>
      <c r="H30" s="262"/>
      <c r="I30" s="243"/>
      <c r="J30" s="262"/>
      <c r="K30" s="88"/>
      <c r="L30" s="143">
        <f t="shared" si="0"/>
        <v>0</v>
      </c>
      <c r="N30" s="81"/>
      <c r="R30" s="79" t="str">
        <f t="shared" si="1"/>
        <v>NOT</v>
      </c>
      <c r="S30" s="79" t="str">
        <f t="shared" si="2"/>
        <v>NOT</v>
      </c>
      <c r="T30" s="79" t="str">
        <f t="shared" si="3"/>
        <v>NOT</v>
      </c>
      <c r="V30" s="79" t="str">
        <f t="shared" si="4"/>
        <v/>
      </c>
    </row>
    <row r="31" spans="1:22" x14ac:dyDescent="0.2">
      <c r="B31" s="259"/>
      <c r="C31" s="88"/>
      <c r="D31" s="260"/>
      <c r="E31" s="243"/>
      <c r="F31" s="261" t="s">
        <v>85</v>
      </c>
      <c r="G31" s="243"/>
      <c r="H31" s="262"/>
      <c r="I31" s="243"/>
      <c r="J31" s="262"/>
      <c r="K31" s="88"/>
      <c r="L31" s="143">
        <f t="shared" si="0"/>
        <v>0</v>
      </c>
      <c r="N31" s="81"/>
      <c r="R31" s="79" t="str">
        <f t="shared" si="1"/>
        <v>NOT</v>
      </c>
      <c r="S31" s="79" t="str">
        <f t="shared" si="2"/>
        <v>NOT</v>
      </c>
      <c r="T31" s="79" t="str">
        <f t="shared" si="3"/>
        <v>NOT</v>
      </c>
      <c r="V31" s="79" t="str">
        <f t="shared" si="4"/>
        <v/>
      </c>
    </row>
    <row r="32" spans="1:22" x14ac:dyDescent="0.2">
      <c r="B32" s="259"/>
      <c r="C32" s="88"/>
      <c r="D32" s="260"/>
      <c r="E32" s="243"/>
      <c r="F32" s="261" t="s">
        <v>85</v>
      </c>
      <c r="G32" s="243"/>
      <c r="H32" s="262"/>
      <c r="I32" s="243"/>
      <c r="J32" s="262"/>
      <c r="K32" s="88"/>
      <c r="L32" s="143">
        <f t="shared" si="0"/>
        <v>0</v>
      </c>
      <c r="N32" s="81"/>
      <c r="R32" s="79" t="str">
        <f t="shared" si="1"/>
        <v>NOT</v>
      </c>
      <c r="S32" s="79" t="str">
        <f t="shared" si="2"/>
        <v>NOT</v>
      </c>
      <c r="T32" s="79" t="str">
        <f t="shared" si="3"/>
        <v>NOT</v>
      </c>
      <c r="V32" s="79" t="str">
        <f t="shared" si="4"/>
        <v/>
      </c>
    </row>
    <row r="33" spans="1:22" x14ac:dyDescent="0.2">
      <c r="B33" s="259"/>
      <c r="C33" s="88"/>
      <c r="D33" s="260"/>
      <c r="E33" s="243"/>
      <c r="F33" s="261" t="s">
        <v>85</v>
      </c>
      <c r="G33" s="243"/>
      <c r="H33" s="262"/>
      <c r="I33" s="243"/>
      <c r="J33" s="262"/>
      <c r="K33" s="88"/>
      <c r="L33" s="143">
        <f t="shared" si="0"/>
        <v>0</v>
      </c>
      <c r="N33" s="81"/>
      <c r="R33" s="79" t="str">
        <f t="shared" si="1"/>
        <v>NOT</v>
      </c>
      <c r="S33" s="79" t="str">
        <f t="shared" si="2"/>
        <v>NOT</v>
      </c>
      <c r="T33" s="79" t="str">
        <f t="shared" si="3"/>
        <v>NOT</v>
      </c>
      <c r="V33" s="79" t="str">
        <f t="shared" si="4"/>
        <v/>
      </c>
    </row>
    <row r="34" spans="1:22" x14ac:dyDescent="0.2">
      <c r="B34" s="259"/>
      <c r="C34" s="88"/>
      <c r="D34" s="260"/>
      <c r="E34" s="243"/>
      <c r="F34" s="261" t="s">
        <v>85</v>
      </c>
      <c r="G34" s="243"/>
      <c r="H34" s="262"/>
      <c r="I34" s="243"/>
      <c r="J34" s="262"/>
      <c r="K34" s="88"/>
      <c r="L34" s="143">
        <f t="shared" si="0"/>
        <v>0</v>
      </c>
      <c r="N34" s="81"/>
      <c r="R34" s="79" t="str">
        <f t="shared" si="1"/>
        <v>NOT</v>
      </c>
      <c r="S34" s="79" t="str">
        <f t="shared" si="2"/>
        <v>NOT</v>
      </c>
      <c r="T34" s="79" t="str">
        <f t="shared" si="3"/>
        <v>NOT</v>
      </c>
      <c r="V34" s="79" t="str">
        <f t="shared" si="4"/>
        <v/>
      </c>
    </row>
    <row r="35" spans="1:22" x14ac:dyDescent="0.2">
      <c r="B35" s="259"/>
      <c r="C35" s="88"/>
      <c r="D35" s="260"/>
      <c r="E35" s="243"/>
      <c r="F35" s="261" t="s">
        <v>85</v>
      </c>
      <c r="G35" s="243"/>
      <c r="H35" s="262"/>
      <c r="I35" s="243"/>
      <c r="J35" s="262"/>
      <c r="K35" s="88"/>
      <c r="L35" s="143">
        <f t="shared" si="0"/>
        <v>0</v>
      </c>
      <c r="N35" s="81"/>
      <c r="R35" s="79" t="str">
        <f t="shared" si="1"/>
        <v>NOT</v>
      </c>
      <c r="S35" s="79" t="str">
        <f t="shared" si="2"/>
        <v>NOT</v>
      </c>
      <c r="T35" s="79" t="str">
        <f t="shared" si="3"/>
        <v>NOT</v>
      </c>
      <c r="V35" s="79" t="str">
        <f t="shared" si="4"/>
        <v/>
      </c>
    </row>
    <row r="36" spans="1:22" x14ac:dyDescent="0.2">
      <c r="B36" s="259"/>
      <c r="C36" s="88"/>
      <c r="D36" s="260"/>
      <c r="E36" s="243"/>
      <c r="F36" s="261" t="s">
        <v>85</v>
      </c>
      <c r="G36" s="243"/>
      <c r="H36" s="262"/>
      <c r="I36" s="243"/>
      <c r="J36" s="262"/>
      <c r="K36" s="88"/>
      <c r="L36" s="143">
        <f t="shared" si="0"/>
        <v>0</v>
      </c>
      <c r="N36" s="81"/>
      <c r="R36" s="79" t="str">
        <f t="shared" si="1"/>
        <v>NOT</v>
      </c>
      <c r="S36" s="79" t="str">
        <f t="shared" si="2"/>
        <v>NOT</v>
      </c>
      <c r="T36" s="79" t="str">
        <f t="shared" si="3"/>
        <v>NOT</v>
      </c>
      <c r="V36" s="79" t="str">
        <f t="shared" si="4"/>
        <v/>
      </c>
    </row>
    <row r="37" spans="1:22" x14ac:dyDescent="0.2">
      <c r="B37" s="259"/>
      <c r="C37" s="88"/>
      <c r="D37" s="260"/>
      <c r="E37" s="243"/>
      <c r="F37" s="261" t="s">
        <v>85</v>
      </c>
      <c r="G37" s="243"/>
      <c r="H37" s="262"/>
      <c r="I37" s="243"/>
      <c r="J37" s="262"/>
      <c r="K37" s="88"/>
      <c r="L37" s="143">
        <f t="shared" si="0"/>
        <v>0</v>
      </c>
      <c r="N37" s="81"/>
      <c r="R37" s="79" t="str">
        <f t="shared" si="1"/>
        <v>NOT</v>
      </c>
      <c r="S37" s="79" t="str">
        <f t="shared" si="2"/>
        <v>NOT</v>
      </c>
      <c r="T37" s="79" t="str">
        <f t="shared" si="3"/>
        <v>NOT</v>
      </c>
      <c r="V37" s="79" t="str">
        <f t="shared" si="4"/>
        <v/>
      </c>
    </row>
    <row r="38" spans="1:22" x14ac:dyDescent="0.2">
      <c r="B38" s="104"/>
      <c r="C38" s="88"/>
      <c r="D38" s="81"/>
      <c r="F38" s="81"/>
      <c r="H38" s="81"/>
      <c r="J38" s="81"/>
      <c r="K38" s="88"/>
      <c r="L38" s="81"/>
      <c r="N38" s="227"/>
    </row>
    <row r="39" spans="1:22" x14ac:dyDescent="0.2">
      <c r="B39" s="104"/>
      <c r="C39" s="88"/>
      <c r="D39" s="81"/>
      <c r="F39" s="81"/>
      <c r="H39" s="81"/>
      <c r="J39" s="81"/>
      <c r="K39" s="88"/>
      <c r="L39" s="81"/>
      <c r="N39" s="227"/>
    </row>
    <row r="40" spans="1:22" ht="27" customHeight="1" x14ac:dyDescent="0.2">
      <c r="A40" s="247">
        <v>3</v>
      </c>
      <c r="B40" s="248" t="s">
        <v>284</v>
      </c>
      <c r="C40" s="249"/>
      <c r="D40" s="783" t="s">
        <v>305</v>
      </c>
      <c r="E40" s="765"/>
      <c r="F40" s="765"/>
      <c r="G40" s="765"/>
      <c r="H40" s="766"/>
      <c r="I40" s="250"/>
      <c r="J40" s="251" t="s">
        <v>18</v>
      </c>
      <c r="K40" s="249"/>
      <c r="L40" s="252">
        <f>ROUNDDOWN(L12*0.15,2)</f>
        <v>0</v>
      </c>
      <c r="M40" s="250"/>
      <c r="N40" s="253">
        <f>IF(L40=0,0%,L40/L$8)</f>
        <v>0</v>
      </c>
      <c r="P40" s="270"/>
      <c r="Q40" s="231" t="str">
        <f>IF(N40&gt;P40,D40,"")</f>
        <v/>
      </c>
      <c r="R40" s="79" t="str">
        <f>IF(OR(N40&gt;O40,N40&gt;P40),"Overhead costs shall not exceed 5 per cent of each partner’s total eligible budget and shall not exceed 25 per cent of the total staff costs in each partner’s budget!","")</f>
        <v/>
      </c>
      <c r="S40" s="85"/>
    </row>
    <row r="41" spans="1:22" x14ac:dyDescent="0.2">
      <c r="B41" s="104"/>
      <c r="C41" s="88"/>
      <c r="D41" s="81"/>
      <c r="F41" s="81"/>
      <c r="H41" s="81"/>
      <c r="J41" s="81"/>
      <c r="K41" s="88"/>
      <c r="L41" s="81"/>
      <c r="N41" s="227"/>
    </row>
    <row r="42" spans="1:22" ht="27" customHeight="1" x14ac:dyDescent="0.2">
      <c r="A42" s="247">
        <v>4</v>
      </c>
      <c r="B42" s="248" t="s">
        <v>286</v>
      </c>
      <c r="C42" s="249"/>
      <c r="D42" s="784" t="s">
        <v>563</v>
      </c>
      <c r="E42" s="785"/>
      <c r="F42" s="785"/>
      <c r="G42" s="785"/>
      <c r="H42" s="786"/>
      <c r="I42" s="250"/>
      <c r="J42" s="251" t="s">
        <v>18</v>
      </c>
      <c r="K42" s="249"/>
      <c r="L42" s="252">
        <f>IF(L14&gt;0,0,(L44+L62+L80))</f>
        <v>0</v>
      </c>
      <c r="M42" s="250"/>
      <c r="N42" s="253">
        <f>IF(L42=0,0%,L42/L$8)</f>
        <v>0</v>
      </c>
      <c r="O42" s="495">
        <f>IF(LEN(Q42)&gt;1,1,0)</f>
        <v>0</v>
      </c>
      <c r="P42" s="95"/>
      <c r="Q42" s="79" t="str">
        <f>IF(AND(L14&gt;0,(L44+L62+L80)),D42,"")</f>
        <v/>
      </c>
    </row>
    <row r="43" spans="1:22" s="76" customFormat="1" ht="7.5" customHeight="1" x14ac:dyDescent="0.2">
      <c r="A43" s="87"/>
      <c r="B43" s="88"/>
      <c r="C43" s="88"/>
      <c r="D43" s="70"/>
      <c r="E43" s="70"/>
      <c r="F43" s="70"/>
      <c r="G43" s="70"/>
      <c r="H43" s="70"/>
      <c r="I43" s="70"/>
      <c r="J43" s="70"/>
      <c r="K43" s="88"/>
      <c r="L43" s="70"/>
      <c r="M43" s="70"/>
      <c r="N43" s="70"/>
      <c r="O43" s="89"/>
      <c r="V43" s="79"/>
    </row>
    <row r="44" spans="1:22" ht="13.5" customHeight="1" x14ac:dyDescent="0.2">
      <c r="A44" s="276"/>
      <c r="B44" s="278" t="s">
        <v>287</v>
      </c>
      <c r="C44" s="277"/>
      <c r="D44" s="747" t="s">
        <v>166</v>
      </c>
      <c r="E44" s="748"/>
      <c r="F44" s="748"/>
      <c r="G44" s="748"/>
      <c r="H44" s="748"/>
      <c r="I44" s="279"/>
      <c r="J44" s="280" t="s">
        <v>18</v>
      </c>
      <c r="K44" s="88"/>
      <c r="L44" s="156">
        <f>SUM(L51:L60)</f>
        <v>0</v>
      </c>
      <c r="M44" s="246"/>
      <c r="N44" s="147">
        <f>IF(L44=0,0%,L44/L$8)</f>
        <v>0</v>
      </c>
      <c r="O44" s="495">
        <f>IF(LEN(R44)&gt;3,1,0)</f>
        <v>0</v>
      </c>
      <c r="R44" s="79" t="str">
        <f>IF(AND(R50="NOT",S50="NOT",T50="NOT"),"NOT",D44)</f>
        <v>NOT</v>
      </c>
    </row>
    <row r="45" spans="1:22" s="76" customFormat="1" ht="3" customHeight="1" x14ac:dyDescent="0.2">
      <c r="A45" s="87"/>
      <c r="B45" s="88"/>
      <c r="C45" s="88"/>
      <c r="D45" s="70"/>
      <c r="E45" s="70"/>
      <c r="F45" s="70"/>
      <c r="G45" s="70"/>
      <c r="H45" s="70"/>
      <c r="I45" s="70"/>
      <c r="J45" s="70"/>
      <c r="K45" s="88"/>
      <c r="L45" s="70"/>
      <c r="M45" s="70"/>
      <c r="N45" s="70"/>
      <c r="O45" s="89"/>
      <c r="V45" s="79"/>
    </row>
    <row r="46" spans="1:22" x14ac:dyDescent="0.2">
      <c r="B46" s="742" t="s">
        <v>197</v>
      </c>
      <c r="C46" s="743"/>
      <c r="D46" s="743"/>
      <c r="E46" s="743"/>
      <c r="F46" s="743"/>
      <c r="H46" s="81"/>
      <c r="J46" s="81"/>
      <c r="K46" s="88"/>
      <c r="L46" s="81"/>
      <c r="N46" s="227"/>
      <c r="R46" s="79" t="str">
        <f>IF(AND(($L44&gt;0),ISBLANK(B48)),B46,"NOT")</f>
        <v>NOT</v>
      </c>
    </row>
    <row r="47" spans="1:22" ht="3" customHeight="1" x14ac:dyDescent="0.2">
      <c r="B47" s="104"/>
      <c r="C47" s="88"/>
      <c r="D47" s="81"/>
      <c r="F47" s="81"/>
      <c r="H47" s="81"/>
      <c r="J47" s="81"/>
      <c r="K47" s="88"/>
      <c r="L47" s="81"/>
      <c r="N47" s="227"/>
    </row>
    <row r="48" spans="1:22" ht="50.25" customHeight="1" x14ac:dyDescent="0.2">
      <c r="B48" s="744"/>
      <c r="C48" s="745"/>
      <c r="D48" s="745"/>
      <c r="E48" s="745"/>
      <c r="F48" s="745"/>
      <c r="G48" s="745"/>
      <c r="H48" s="745"/>
      <c r="I48" s="745"/>
      <c r="J48" s="745"/>
      <c r="K48" s="745"/>
      <c r="L48" s="746"/>
      <c r="M48" s="70" t="s">
        <v>19</v>
      </c>
      <c r="N48" s="227"/>
    </row>
    <row r="49" spans="1:22" ht="3.75" customHeight="1" x14ac:dyDescent="0.2">
      <c r="B49" s="104"/>
      <c r="C49" s="88"/>
      <c r="D49" s="81"/>
      <c r="F49" s="81"/>
      <c r="H49" s="81"/>
      <c r="J49" s="81"/>
      <c r="K49" s="88"/>
      <c r="L49" s="81"/>
      <c r="N49" s="227"/>
    </row>
    <row r="50" spans="1:22" ht="12.75" customHeight="1" x14ac:dyDescent="0.2">
      <c r="B50" s="244" t="s">
        <v>17</v>
      </c>
      <c r="C50" s="88"/>
      <c r="D50" s="244" t="s">
        <v>580</v>
      </c>
      <c r="F50" s="244" t="s">
        <v>205</v>
      </c>
      <c r="H50" s="244" t="s">
        <v>16</v>
      </c>
      <c r="J50" s="244" t="s">
        <v>15</v>
      </c>
      <c r="K50" s="245"/>
      <c r="L50" s="103" t="s">
        <v>141</v>
      </c>
      <c r="N50" s="81"/>
      <c r="R50" s="255" t="str">
        <f>IF(AND(R51="NOT",R52="NOT",R53="NOT",R54="NOT",R55="NOT",R56="NOT",R57="NOT",R58="NOT",R59="NOT",R60="NOT",R46="NOT"),"NOT",D44)</f>
        <v>NOT</v>
      </c>
      <c r="S50" s="255" t="str">
        <f>IF(AND(S51="NOT",S52="NOT",S53="NOT",S54="NOT",S55="NOT",S56="NOT",S57="NOT",S58="NOT",S59="NOT",S60="NOT",R46="NOT"),"NOT",D44)</f>
        <v>NOT</v>
      </c>
      <c r="T50" s="255" t="str">
        <f>IF(AND(T51="NOT",T52="NOT",T53="NOT",T54="NOT",T55="NOT",T56="NOT",T57="NOT",T58="NOT",T59="NOT",T60="NOT",R46="NOT"),"NOT",D44)</f>
        <v>NOT</v>
      </c>
    </row>
    <row r="51" spans="1:22" x14ac:dyDescent="0.2">
      <c r="B51" s="259"/>
      <c r="C51" s="88"/>
      <c r="D51" s="260"/>
      <c r="E51" s="243"/>
      <c r="F51" s="261"/>
      <c r="G51" s="243"/>
      <c r="H51" s="262"/>
      <c r="I51" s="243"/>
      <c r="J51" s="262"/>
      <c r="K51" s="88"/>
      <c r="L51" s="143">
        <f t="shared" ref="L51:L60" si="5">TRUNC(H51*J51,2)</f>
        <v>0</v>
      </c>
      <c r="N51" s="81"/>
      <c r="R51" s="79" t="str">
        <f t="shared" ref="R51:R60" si="6">IF(AND(($L51&gt;0),ISBLANK(B51)),B51,"NOT")</f>
        <v>NOT</v>
      </c>
      <c r="S51" s="79" t="str">
        <f t="shared" ref="S51:S60" si="7">IF(AND(($L51&gt;0),ISBLANK(D51)),D51,"NOT")</f>
        <v>NOT</v>
      </c>
      <c r="T51" s="79" t="str">
        <f t="shared" ref="T51:T60" si="8">IF(AND(($L51&gt;0),ISBLANK(F51)),F51,"NOT")</f>
        <v>NOT</v>
      </c>
      <c r="V51" s="79" t="str">
        <f t="shared" si="4"/>
        <v/>
      </c>
    </row>
    <row r="52" spans="1:22" x14ac:dyDescent="0.2">
      <c r="B52" s="259"/>
      <c r="C52" s="88"/>
      <c r="D52" s="260"/>
      <c r="E52" s="243"/>
      <c r="F52" s="261"/>
      <c r="G52" s="243"/>
      <c r="H52" s="262"/>
      <c r="I52" s="243"/>
      <c r="J52" s="262"/>
      <c r="K52" s="88"/>
      <c r="L52" s="143">
        <f t="shared" si="5"/>
        <v>0</v>
      </c>
      <c r="N52" s="81"/>
      <c r="R52" s="79" t="str">
        <f t="shared" si="6"/>
        <v>NOT</v>
      </c>
      <c r="S52" s="79" t="str">
        <f t="shared" si="7"/>
        <v>NOT</v>
      </c>
      <c r="T52" s="79" t="str">
        <f t="shared" si="8"/>
        <v>NOT</v>
      </c>
      <c r="V52" s="79" t="str">
        <f t="shared" si="4"/>
        <v/>
      </c>
    </row>
    <row r="53" spans="1:22" x14ac:dyDescent="0.2">
      <c r="B53" s="259"/>
      <c r="C53" s="88"/>
      <c r="D53" s="260"/>
      <c r="E53" s="243"/>
      <c r="F53" s="261"/>
      <c r="G53" s="243"/>
      <c r="H53" s="262"/>
      <c r="I53" s="243"/>
      <c r="J53" s="262"/>
      <c r="K53" s="88"/>
      <c r="L53" s="143">
        <f t="shared" si="5"/>
        <v>0</v>
      </c>
      <c r="N53" s="81"/>
      <c r="R53" s="79" t="str">
        <f t="shared" si="6"/>
        <v>NOT</v>
      </c>
      <c r="S53" s="79" t="str">
        <f t="shared" si="7"/>
        <v>NOT</v>
      </c>
      <c r="T53" s="79" t="str">
        <f t="shared" si="8"/>
        <v>NOT</v>
      </c>
      <c r="V53" s="79" t="str">
        <f t="shared" si="4"/>
        <v/>
      </c>
    </row>
    <row r="54" spans="1:22" x14ac:dyDescent="0.2">
      <c r="B54" s="259"/>
      <c r="C54" s="88"/>
      <c r="D54" s="260"/>
      <c r="E54" s="243"/>
      <c r="F54" s="261"/>
      <c r="G54" s="243"/>
      <c r="H54" s="262"/>
      <c r="I54" s="243"/>
      <c r="J54" s="262"/>
      <c r="K54" s="88"/>
      <c r="L54" s="143">
        <f t="shared" si="5"/>
        <v>0</v>
      </c>
      <c r="N54" s="81"/>
      <c r="R54" s="79" t="str">
        <f t="shared" si="6"/>
        <v>NOT</v>
      </c>
      <c r="S54" s="79" t="str">
        <f t="shared" si="7"/>
        <v>NOT</v>
      </c>
      <c r="T54" s="79" t="str">
        <f t="shared" si="8"/>
        <v>NOT</v>
      </c>
      <c r="V54" s="79" t="str">
        <f t="shared" si="4"/>
        <v/>
      </c>
    </row>
    <row r="55" spans="1:22" x14ac:dyDescent="0.2">
      <c r="B55" s="259"/>
      <c r="C55" s="88"/>
      <c r="D55" s="260"/>
      <c r="E55" s="243"/>
      <c r="F55" s="261"/>
      <c r="G55" s="243"/>
      <c r="H55" s="262"/>
      <c r="I55" s="243"/>
      <c r="J55" s="262"/>
      <c r="K55" s="88"/>
      <c r="L55" s="143">
        <f t="shared" si="5"/>
        <v>0</v>
      </c>
      <c r="N55" s="81"/>
      <c r="R55" s="79" t="str">
        <f t="shared" si="6"/>
        <v>NOT</v>
      </c>
      <c r="S55" s="79" t="str">
        <f t="shared" si="7"/>
        <v>NOT</v>
      </c>
      <c r="T55" s="79" t="str">
        <f t="shared" si="8"/>
        <v>NOT</v>
      </c>
      <c r="V55" s="79" t="str">
        <f t="shared" si="4"/>
        <v/>
      </c>
    </row>
    <row r="56" spans="1:22" x14ac:dyDescent="0.2">
      <c r="B56" s="259"/>
      <c r="C56" s="88"/>
      <c r="D56" s="260"/>
      <c r="E56" s="243"/>
      <c r="F56" s="261"/>
      <c r="G56" s="243"/>
      <c r="H56" s="262"/>
      <c r="I56" s="243"/>
      <c r="J56" s="262"/>
      <c r="K56" s="88"/>
      <c r="L56" s="143">
        <f t="shared" si="5"/>
        <v>0</v>
      </c>
      <c r="N56" s="81"/>
      <c r="R56" s="79" t="str">
        <f t="shared" si="6"/>
        <v>NOT</v>
      </c>
      <c r="S56" s="79" t="str">
        <f t="shared" si="7"/>
        <v>NOT</v>
      </c>
      <c r="T56" s="79" t="str">
        <f t="shared" si="8"/>
        <v>NOT</v>
      </c>
      <c r="V56" s="79" t="str">
        <f t="shared" si="4"/>
        <v/>
      </c>
    </row>
    <row r="57" spans="1:22" x14ac:dyDescent="0.2">
      <c r="B57" s="259"/>
      <c r="C57" s="88"/>
      <c r="D57" s="260"/>
      <c r="E57" s="243"/>
      <c r="F57" s="261"/>
      <c r="G57" s="243"/>
      <c r="H57" s="262"/>
      <c r="I57" s="243"/>
      <c r="J57" s="262"/>
      <c r="K57" s="88"/>
      <c r="L57" s="143">
        <f t="shared" si="5"/>
        <v>0</v>
      </c>
      <c r="N57" s="81"/>
      <c r="R57" s="79" t="str">
        <f t="shared" si="6"/>
        <v>NOT</v>
      </c>
      <c r="S57" s="79" t="str">
        <f t="shared" si="7"/>
        <v>NOT</v>
      </c>
      <c r="T57" s="79" t="str">
        <f t="shared" si="8"/>
        <v>NOT</v>
      </c>
      <c r="V57" s="79" t="str">
        <f t="shared" si="4"/>
        <v/>
      </c>
    </row>
    <row r="58" spans="1:22" x14ac:dyDescent="0.2">
      <c r="B58" s="259"/>
      <c r="C58" s="88"/>
      <c r="D58" s="260"/>
      <c r="E58" s="243"/>
      <c r="F58" s="261"/>
      <c r="G58" s="243"/>
      <c r="H58" s="262"/>
      <c r="I58" s="243"/>
      <c r="J58" s="262"/>
      <c r="K58" s="88"/>
      <c r="L58" s="143">
        <f t="shared" si="5"/>
        <v>0</v>
      </c>
      <c r="N58" s="81"/>
      <c r="R58" s="79" t="str">
        <f t="shared" si="6"/>
        <v>NOT</v>
      </c>
      <c r="S58" s="79" t="str">
        <f t="shared" si="7"/>
        <v>NOT</v>
      </c>
      <c r="T58" s="79" t="str">
        <f t="shared" si="8"/>
        <v>NOT</v>
      </c>
      <c r="V58" s="79" t="str">
        <f t="shared" si="4"/>
        <v/>
      </c>
    </row>
    <row r="59" spans="1:22" x14ac:dyDescent="0.2">
      <c r="B59" s="259"/>
      <c r="C59" s="88"/>
      <c r="D59" s="260"/>
      <c r="E59" s="243"/>
      <c r="F59" s="261"/>
      <c r="G59" s="243"/>
      <c r="H59" s="262"/>
      <c r="I59" s="243"/>
      <c r="J59" s="262"/>
      <c r="K59" s="88"/>
      <c r="L59" s="143">
        <f t="shared" si="5"/>
        <v>0</v>
      </c>
      <c r="N59" s="81"/>
      <c r="R59" s="79" t="str">
        <f t="shared" si="6"/>
        <v>NOT</v>
      </c>
      <c r="S59" s="79" t="str">
        <f t="shared" si="7"/>
        <v>NOT</v>
      </c>
      <c r="T59" s="79" t="str">
        <f t="shared" si="8"/>
        <v>NOT</v>
      </c>
      <c r="V59" s="79" t="str">
        <f t="shared" si="4"/>
        <v/>
      </c>
    </row>
    <row r="60" spans="1:22" x14ac:dyDescent="0.2">
      <c r="B60" s="259"/>
      <c r="C60" s="88"/>
      <c r="D60" s="260"/>
      <c r="E60" s="243"/>
      <c r="F60" s="261"/>
      <c r="G60" s="243"/>
      <c r="H60" s="262"/>
      <c r="I60" s="243"/>
      <c r="J60" s="262"/>
      <c r="K60" s="88"/>
      <c r="L60" s="143">
        <f t="shared" si="5"/>
        <v>0</v>
      </c>
      <c r="N60" s="81"/>
      <c r="R60" s="79" t="str">
        <f t="shared" si="6"/>
        <v>NOT</v>
      </c>
      <c r="S60" s="79" t="str">
        <f t="shared" si="7"/>
        <v>NOT</v>
      </c>
      <c r="T60" s="79" t="str">
        <f t="shared" si="8"/>
        <v>NOT</v>
      </c>
      <c r="V60" s="79" t="str">
        <f t="shared" si="4"/>
        <v/>
      </c>
    </row>
    <row r="61" spans="1:22" x14ac:dyDescent="0.2">
      <c r="B61" s="104"/>
      <c r="C61" s="88"/>
      <c r="D61" s="81"/>
      <c r="F61" s="81"/>
      <c r="H61" s="81"/>
      <c r="J61" s="81"/>
      <c r="K61" s="88"/>
      <c r="L61" s="81"/>
      <c r="N61" s="227"/>
    </row>
    <row r="62" spans="1:22" ht="13.5" customHeight="1" x14ac:dyDescent="0.2">
      <c r="A62" s="276"/>
      <c r="B62" s="278" t="s">
        <v>288</v>
      </c>
      <c r="C62" s="277"/>
      <c r="D62" s="747" t="s">
        <v>166</v>
      </c>
      <c r="E62" s="748"/>
      <c r="F62" s="748"/>
      <c r="G62" s="748"/>
      <c r="H62" s="748"/>
      <c r="I62" s="279"/>
      <c r="J62" s="280" t="s">
        <v>18</v>
      </c>
      <c r="K62" s="88"/>
      <c r="L62" s="156">
        <f>SUM(L69:L78)</f>
        <v>0</v>
      </c>
      <c r="M62" s="246"/>
      <c r="N62" s="147">
        <f>IF(L62=0,0%,L62/L$8)</f>
        <v>0</v>
      </c>
      <c r="O62" s="495">
        <f>IF(LEN(R62)&gt;3,1,0)</f>
        <v>0</v>
      </c>
      <c r="R62" s="79" t="str">
        <f>IF(AND(R68="NOT",S68="NOT",T68="NOT"),"NOT",D62)</f>
        <v>NOT</v>
      </c>
    </row>
    <row r="63" spans="1:22" s="76" customFormat="1" ht="3" customHeight="1" x14ac:dyDescent="0.2">
      <c r="A63" s="87"/>
      <c r="B63" s="88"/>
      <c r="C63" s="88"/>
      <c r="D63" s="70"/>
      <c r="E63" s="70"/>
      <c r="F63" s="70"/>
      <c r="G63" s="70"/>
      <c r="H63" s="70"/>
      <c r="I63" s="70"/>
      <c r="J63" s="70"/>
      <c r="K63" s="88"/>
      <c r="L63" s="70"/>
      <c r="M63" s="70"/>
      <c r="N63" s="70"/>
      <c r="O63" s="89"/>
      <c r="V63" s="79"/>
    </row>
    <row r="64" spans="1:22" x14ac:dyDescent="0.2">
      <c r="B64" s="742" t="s">
        <v>197</v>
      </c>
      <c r="C64" s="743"/>
      <c r="D64" s="743"/>
      <c r="E64" s="743"/>
      <c r="F64" s="743"/>
      <c r="H64" s="81"/>
      <c r="J64" s="81"/>
      <c r="K64" s="88"/>
      <c r="L64" s="81"/>
      <c r="N64" s="227"/>
      <c r="R64" s="79" t="str">
        <f>IF(AND(($L62&gt;0),ISBLANK(B66)),B64,"NOT")</f>
        <v>NOT</v>
      </c>
    </row>
    <row r="65" spans="1:22" ht="3" customHeight="1" x14ac:dyDescent="0.2">
      <c r="B65" s="104"/>
      <c r="C65" s="88"/>
      <c r="D65" s="81"/>
      <c r="F65" s="81"/>
      <c r="H65" s="81"/>
      <c r="J65" s="81"/>
      <c r="K65" s="88"/>
      <c r="L65" s="81"/>
      <c r="N65" s="227"/>
    </row>
    <row r="66" spans="1:22" ht="50.25" customHeight="1" x14ac:dyDescent="0.2">
      <c r="B66" s="744"/>
      <c r="C66" s="745"/>
      <c r="D66" s="745"/>
      <c r="E66" s="745"/>
      <c r="F66" s="745"/>
      <c r="G66" s="745"/>
      <c r="H66" s="745"/>
      <c r="I66" s="745"/>
      <c r="J66" s="745"/>
      <c r="K66" s="745"/>
      <c r="L66" s="746"/>
      <c r="M66" s="70" t="s">
        <v>19</v>
      </c>
      <c r="N66" s="227"/>
    </row>
    <row r="67" spans="1:22" ht="3.75" customHeight="1" x14ac:dyDescent="0.2">
      <c r="B67" s="104"/>
      <c r="C67" s="88"/>
      <c r="D67" s="81"/>
      <c r="F67" s="81"/>
      <c r="H67" s="81"/>
      <c r="J67" s="81"/>
      <c r="K67" s="88"/>
      <c r="L67" s="81"/>
      <c r="N67" s="227"/>
    </row>
    <row r="68" spans="1:22" ht="12.75" customHeight="1" x14ac:dyDescent="0.2">
      <c r="B68" s="244" t="s">
        <v>17</v>
      </c>
      <c r="C68" s="88"/>
      <c r="D68" s="244" t="s">
        <v>580</v>
      </c>
      <c r="F68" s="244" t="s">
        <v>205</v>
      </c>
      <c r="H68" s="244" t="s">
        <v>16</v>
      </c>
      <c r="J68" s="244" t="s">
        <v>15</v>
      </c>
      <c r="K68" s="245"/>
      <c r="L68" s="103" t="s">
        <v>141</v>
      </c>
      <c r="N68" s="81"/>
      <c r="R68" s="255" t="str">
        <f>IF(AND(R69="NOT",R70="NOT",R71="NOT",R72="NOT",R73="NOT",R74="NOT",R75="NOT",R76="NOT",R77="NOT",R78="NOT",R64="NOT"),"NOT",D62)</f>
        <v>NOT</v>
      </c>
      <c r="S68" s="255" t="str">
        <f>IF(AND(S69="NOT",S70="NOT",S71="NOT",S72="NOT",S73="NOT",S74="NOT",S75="NOT",S76="NOT",S77="NOT",S78="NOT",R64="NOT"),"NOT",D62)</f>
        <v>NOT</v>
      </c>
      <c r="T68" s="255" t="str">
        <f>IF(AND(T69="NOT",T70="NOT",T71="NOT",T72="NOT",T73="NOT",T74="NOT",T75="NOT",T76="NOT",T77="NOT",T78="NOT",R64="NOT"),"NOT",D62)</f>
        <v>NOT</v>
      </c>
    </row>
    <row r="69" spans="1:22" x14ac:dyDescent="0.2">
      <c r="B69" s="259"/>
      <c r="C69" s="88"/>
      <c r="D69" s="260"/>
      <c r="E69" s="243"/>
      <c r="F69" s="261"/>
      <c r="G69" s="243"/>
      <c r="H69" s="262"/>
      <c r="I69" s="243"/>
      <c r="J69" s="262"/>
      <c r="K69" s="88"/>
      <c r="L69" s="143">
        <f t="shared" ref="L69:L78" si="9">TRUNC(H69*J69,2)</f>
        <v>0</v>
      </c>
      <c r="N69" s="81"/>
      <c r="R69" s="79" t="str">
        <f t="shared" ref="R69:R78" si="10">IF(AND(($L69&gt;0),ISBLANK(B69)),B69,"NOT")</f>
        <v>NOT</v>
      </c>
      <c r="S69" s="79" t="str">
        <f t="shared" ref="S69:S78" si="11">IF(AND(($L69&gt;0),ISBLANK(D69)),D69,"NOT")</f>
        <v>NOT</v>
      </c>
      <c r="T69" s="79" t="str">
        <f t="shared" ref="T69:T78" si="12">IF(AND(($L69&gt;0),ISBLANK(F69)),F69,"NOT")</f>
        <v>NOT</v>
      </c>
      <c r="V69" s="79" t="str">
        <f t="shared" si="4"/>
        <v/>
      </c>
    </row>
    <row r="70" spans="1:22" x14ac:dyDescent="0.2">
      <c r="B70" s="259"/>
      <c r="C70" s="88"/>
      <c r="D70" s="260"/>
      <c r="E70" s="243"/>
      <c r="F70" s="261"/>
      <c r="G70" s="243"/>
      <c r="H70" s="262"/>
      <c r="I70" s="243"/>
      <c r="J70" s="262"/>
      <c r="K70" s="88"/>
      <c r="L70" s="143">
        <f t="shared" si="9"/>
        <v>0</v>
      </c>
      <c r="N70" s="81"/>
      <c r="R70" s="79" t="str">
        <f t="shared" si="10"/>
        <v>NOT</v>
      </c>
      <c r="S70" s="79" t="str">
        <f t="shared" si="11"/>
        <v>NOT</v>
      </c>
      <c r="T70" s="79" t="str">
        <f t="shared" si="12"/>
        <v>NOT</v>
      </c>
      <c r="V70" s="79" t="str">
        <f t="shared" si="4"/>
        <v/>
      </c>
    </row>
    <row r="71" spans="1:22" x14ac:dyDescent="0.2">
      <c r="B71" s="259"/>
      <c r="C71" s="88"/>
      <c r="D71" s="260"/>
      <c r="E71" s="243"/>
      <c r="F71" s="261"/>
      <c r="G71" s="243"/>
      <c r="H71" s="262"/>
      <c r="I71" s="243"/>
      <c r="J71" s="262"/>
      <c r="K71" s="88"/>
      <c r="L71" s="143">
        <f t="shared" si="9"/>
        <v>0</v>
      </c>
      <c r="N71" s="81"/>
      <c r="R71" s="79" t="str">
        <f t="shared" si="10"/>
        <v>NOT</v>
      </c>
      <c r="S71" s="79" t="str">
        <f t="shared" si="11"/>
        <v>NOT</v>
      </c>
      <c r="T71" s="79" t="str">
        <f t="shared" si="12"/>
        <v>NOT</v>
      </c>
      <c r="V71" s="79" t="str">
        <f t="shared" si="4"/>
        <v/>
      </c>
    </row>
    <row r="72" spans="1:22" x14ac:dyDescent="0.2">
      <c r="B72" s="259"/>
      <c r="C72" s="88"/>
      <c r="D72" s="260"/>
      <c r="E72" s="243"/>
      <c r="F72" s="261"/>
      <c r="G72" s="243"/>
      <c r="H72" s="262"/>
      <c r="I72" s="243"/>
      <c r="J72" s="262"/>
      <c r="K72" s="88"/>
      <c r="L72" s="143">
        <f t="shared" si="9"/>
        <v>0</v>
      </c>
      <c r="N72" s="81"/>
      <c r="R72" s="79" t="str">
        <f t="shared" si="10"/>
        <v>NOT</v>
      </c>
      <c r="S72" s="79" t="str">
        <f t="shared" si="11"/>
        <v>NOT</v>
      </c>
      <c r="T72" s="79" t="str">
        <f t="shared" si="12"/>
        <v>NOT</v>
      </c>
      <c r="V72" s="79" t="str">
        <f t="shared" si="4"/>
        <v/>
      </c>
    </row>
    <row r="73" spans="1:22" x14ac:dyDescent="0.2">
      <c r="B73" s="259"/>
      <c r="C73" s="88"/>
      <c r="D73" s="260"/>
      <c r="E73" s="243"/>
      <c r="F73" s="261"/>
      <c r="G73" s="243"/>
      <c r="H73" s="262"/>
      <c r="I73" s="243"/>
      <c r="J73" s="262"/>
      <c r="K73" s="88"/>
      <c r="L73" s="143">
        <f t="shared" si="9"/>
        <v>0</v>
      </c>
      <c r="N73" s="81"/>
      <c r="R73" s="79" t="str">
        <f t="shared" si="10"/>
        <v>NOT</v>
      </c>
      <c r="S73" s="79" t="str">
        <f t="shared" si="11"/>
        <v>NOT</v>
      </c>
      <c r="T73" s="79" t="str">
        <f t="shared" si="12"/>
        <v>NOT</v>
      </c>
      <c r="V73" s="79" t="str">
        <f t="shared" si="4"/>
        <v/>
      </c>
    </row>
    <row r="74" spans="1:22" x14ac:dyDescent="0.2">
      <c r="B74" s="259"/>
      <c r="C74" s="88"/>
      <c r="D74" s="260"/>
      <c r="E74" s="243"/>
      <c r="F74" s="261"/>
      <c r="G74" s="243"/>
      <c r="H74" s="262"/>
      <c r="I74" s="243"/>
      <c r="J74" s="262"/>
      <c r="K74" s="88"/>
      <c r="L74" s="143">
        <f t="shared" si="9"/>
        <v>0</v>
      </c>
      <c r="N74" s="81"/>
      <c r="R74" s="79" t="str">
        <f t="shared" si="10"/>
        <v>NOT</v>
      </c>
      <c r="S74" s="79" t="str">
        <f t="shared" si="11"/>
        <v>NOT</v>
      </c>
      <c r="T74" s="79" t="str">
        <f t="shared" si="12"/>
        <v>NOT</v>
      </c>
      <c r="V74" s="79" t="str">
        <f t="shared" si="4"/>
        <v/>
      </c>
    </row>
    <row r="75" spans="1:22" x14ac:dyDescent="0.2">
      <c r="B75" s="259"/>
      <c r="C75" s="88"/>
      <c r="D75" s="260"/>
      <c r="E75" s="243"/>
      <c r="F75" s="261"/>
      <c r="G75" s="243"/>
      <c r="H75" s="262"/>
      <c r="I75" s="243"/>
      <c r="J75" s="262"/>
      <c r="K75" s="88"/>
      <c r="L75" s="143">
        <f t="shared" si="9"/>
        <v>0</v>
      </c>
      <c r="N75" s="81"/>
      <c r="R75" s="79" t="str">
        <f t="shared" si="10"/>
        <v>NOT</v>
      </c>
      <c r="S75" s="79" t="str">
        <f t="shared" si="11"/>
        <v>NOT</v>
      </c>
      <c r="T75" s="79" t="str">
        <f t="shared" si="12"/>
        <v>NOT</v>
      </c>
      <c r="V75" s="79" t="str">
        <f t="shared" si="4"/>
        <v/>
      </c>
    </row>
    <row r="76" spans="1:22" x14ac:dyDescent="0.2">
      <c r="B76" s="259"/>
      <c r="C76" s="88"/>
      <c r="D76" s="260"/>
      <c r="E76" s="243"/>
      <c r="F76" s="261"/>
      <c r="G76" s="243"/>
      <c r="H76" s="262"/>
      <c r="I76" s="243"/>
      <c r="J76" s="262"/>
      <c r="K76" s="88"/>
      <c r="L76" s="143">
        <f t="shared" si="9"/>
        <v>0</v>
      </c>
      <c r="N76" s="81"/>
      <c r="R76" s="79" t="str">
        <f t="shared" si="10"/>
        <v>NOT</v>
      </c>
      <c r="S76" s="79" t="str">
        <f t="shared" si="11"/>
        <v>NOT</v>
      </c>
      <c r="T76" s="79" t="str">
        <f t="shared" si="12"/>
        <v>NOT</v>
      </c>
      <c r="V76" s="79" t="str">
        <f t="shared" si="4"/>
        <v/>
      </c>
    </row>
    <row r="77" spans="1:22" x14ac:dyDescent="0.2">
      <c r="B77" s="259"/>
      <c r="C77" s="88"/>
      <c r="D77" s="260"/>
      <c r="E77" s="243"/>
      <c r="F77" s="261"/>
      <c r="G77" s="243"/>
      <c r="H77" s="262"/>
      <c r="I77" s="243"/>
      <c r="J77" s="262"/>
      <c r="K77" s="88"/>
      <c r="L77" s="143">
        <f t="shared" si="9"/>
        <v>0</v>
      </c>
      <c r="N77" s="81"/>
      <c r="R77" s="79" t="str">
        <f t="shared" si="10"/>
        <v>NOT</v>
      </c>
      <c r="S77" s="79" t="str">
        <f t="shared" si="11"/>
        <v>NOT</v>
      </c>
      <c r="T77" s="79" t="str">
        <f t="shared" si="12"/>
        <v>NOT</v>
      </c>
      <c r="V77" s="79" t="str">
        <f t="shared" si="4"/>
        <v/>
      </c>
    </row>
    <row r="78" spans="1:22" x14ac:dyDescent="0.2">
      <c r="B78" s="259"/>
      <c r="C78" s="88"/>
      <c r="D78" s="260"/>
      <c r="E78" s="243"/>
      <c r="F78" s="261"/>
      <c r="G78" s="243"/>
      <c r="H78" s="262"/>
      <c r="I78" s="243"/>
      <c r="J78" s="262"/>
      <c r="K78" s="88"/>
      <c r="L78" s="143">
        <f t="shared" si="9"/>
        <v>0</v>
      </c>
      <c r="N78" s="81"/>
      <c r="R78" s="79" t="str">
        <f t="shared" si="10"/>
        <v>NOT</v>
      </c>
      <c r="S78" s="79" t="str">
        <f t="shared" si="11"/>
        <v>NOT</v>
      </c>
      <c r="T78" s="79" t="str">
        <f t="shared" si="12"/>
        <v>NOT</v>
      </c>
      <c r="V78" s="79" t="str">
        <f t="shared" si="4"/>
        <v/>
      </c>
    </row>
    <row r="79" spans="1:22" s="76" customFormat="1" ht="12.75" customHeight="1" x14ac:dyDescent="0.2">
      <c r="A79" s="87"/>
      <c r="B79" s="88"/>
      <c r="C79" s="88"/>
      <c r="D79" s="70"/>
      <c r="E79" s="70"/>
      <c r="F79" s="70"/>
      <c r="G79" s="70"/>
      <c r="H79" s="70"/>
      <c r="I79" s="70"/>
      <c r="J79" s="70"/>
      <c r="K79" s="88"/>
      <c r="L79" s="70"/>
      <c r="M79" s="70"/>
      <c r="N79" s="70"/>
      <c r="O79" s="89"/>
      <c r="V79" s="79"/>
    </row>
    <row r="80" spans="1:22" ht="13.5" customHeight="1" x14ac:dyDescent="0.2">
      <c r="A80" s="276"/>
      <c r="B80" s="278" t="s">
        <v>289</v>
      </c>
      <c r="C80" s="277"/>
      <c r="D80" s="747" t="s">
        <v>166</v>
      </c>
      <c r="E80" s="748"/>
      <c r="F80" s="748"/>
      <c r="G80" s="748"/>
      <c r="H80" s="748"/>
      <c r="I80" s="279"/>
      <c r="J80" s="280" t="s">
        <v>18</v>
      </c>
      <c r="K80" s="88"/>
      <c r="L80" s="156">
        <f>SUM(L87:L96)</f>
        <v>0</v>
      </c>
      <c r="M80" s="246"/>
      <c r="N80" s="147">
        <f>IF(L80=0,0%,L80/L$8)</f>
        <v>0</v>
      </c>
      <c r="O80" s="495">
        <f>IF(LEN(R80)&gt;3,1,0)</f>
        <v>0</v>
      </c>
      <c r="R80" s="79" t="str">
        <f>IF(AND(R86="NOT",S86="NOT",T86="NOT"),"NOT",D80)</f>
        <v>NOT</v>
      </c>
    </row>
    <row r="81" spans="1:22" s="76" customFormat="1" ht="3" customHeight="1" x14ac:dyDescent="0.2">
      <c r="A81" s="87"/>
      <c r="B81" s="88"/>
      <c r="C81" s="88"/>
      <c r="D81" s="70"/>
      <c r="E81" s="70"/>
      <c r="F81" s="70"/>
      <c r="G81" s="70"/>
      <c r="H81" s="70"/>
      <c r="I81" s="70"/>
      <c r="J81" s="70"/>
      <c r="K81" s="88"/>
      <c r="L81" s="70"/>
      <c r="M81" s="70"/>
      <c r="N81" s="70"/>
      <c r="O81" s="89"/>
      <c r="V81" s="79"/>
    </row>
    <row r="82" spans="1:22" x14ac:dyDescent="0.2">
      <c r="B82" s="742" t="s">
        <v>197</v>
      </c>
      <c r="C82" s="743"/>
      <c r="D82" s="743"/>
      <c r="E82" s="743"/>
      <c r="F82" s="743"/>
      <c r="H82" s="81"/>
      <c r="J82" s="81"/>
      <c r="K82" s="88"/>
      <c r="L82" s="81"/>
      <c r="N82" s="227"/>
      <c r="R82" s="79" t="str">
        <f>IF(AND(($L80&gt;0),ISBLANK(B84)),B82,"NOT")</f>
        <v>NOT</v>
      </c>
    </row>
    <row r="83" spans="1:22" ht="3" customHeight="1" x14ac:dyDescent="0.2">
      <c r="B83" s="104"/>
      <c r="C83" s="88"/>
      <c r="D83" s="81"/>
      <c r="F83" s="81"/>
      <c r="H83" s="81"/>
      <c r="J83" s="81"/>
      <c r="K83" s="88"/>
      <c r="L83" s="81"/>
      <c r="N83" s="227"/>
    </row>
    <row r="84" spans="1:22" ht="50.25" customHeight="1" x14ac:dyDescent="0.2">
      <c r="B84" s="744"/>
      <c r="C84" s="745"/>
      <c r="D84" s="745"/>
      <c r="E84" s="745"/>
      <c r="F84" s="745"/>
      <c r="G84" s="745"/>
      <c r="H84" s="745"/>
      <c r="I84" s="745"/>
      <c r="J84" s="745"/>
      <c r="K84" s="745"/>
      <c r="L84" s="746"/>
      <c r="M84" s="70" t="s">
        <v>19</v>
      </c>
      <c r="N84" s="227"/>
    </row>
    <row r="85" spans="1:22" ht="3.75" customHeight="1" x14ac:dyDescent="0.2">
      <c r="B85" s="104"/>
      <c r="C85" s="88"/>
      <c r="D85" s="81"/>
      <c r="F85" s="81"/>
      <c r="H85" s="81"/>
      <c r="J85" s="81"/>
      <c r="K85" s="88"/>
      <c r="L85" s="81"/>
      <c r="N85" s="227"/>
    </row>
    <row r="86" spans="1:22" ht="12.75" customHeight="1" x14ac:dyDescent="0.2">
      <c r="B86" s="244" t="s">
        <v>17</v>
      </c>
      <c r="C86" s="88"/>
      <c r="D86" s="244" t="s">
        <v>580</v>
      </c>
      <c r="F86" s="244" t="s">
        <v>205</v>
      </c>
      <c r="H86" s="244" t="s">
        <v>16</v>
      </c>
      <c r="J86" s="244" t="s">
        <v>15</v>
      </c>
      <c r="K86" s="245"/>
      <c r="L86" s="103" t="s">
        <v>141</v>
      </c>
      <c r="N86" s="81"/>
      <c r="R86" s="255" t="str">
        <f>IF(AND(R87="NOT",R88="NOT",R89="NOT",R90="NOT",R91="NOT",R92="NOT",R93="NOT",R94="NOT",R95="NOT",R96="NOT",R82="NOT"),"NOT",D80)</f>
        <v>NOT</v>
      </c>
      <c r="S86" s="255" t="str">
        <f>IF(AND(S87="NOT",S88="NOT",S89="NOT",S90="NOT",S91="NOT",S92="NOT",S93="NOT",S94="NOT",S95="NOT",S96="NOT",R82="NOT"),"NOT",D80)</f>
        <v>NOT</v>
      </c>
      <c r="T86" s="255" t="str">
        <f>IF(AND(T87="NOT",T88="NOT",T89="NOT",T90="NOT",T91="NOT",T92="NOT",T93="NOT",T94="NOT",T95="NOT",T96="NOT",R82="NOT"),"NOT",D80)</f>
        <v>NOT</v>
      </c>
    </row>
    <row r="87" spans="1:22" x14ac:dyDescent="0.2">
      <c r="B87" s="259"/>
      <c r="C87" s="88"/>
      <c r="D87" s="260"/>
      <c r="E87" s="243"/>
      <c r="F87" s="261"/>
      <c r="G87" s="243"/>
      <c r="H87" s="262"/>
      <c r="I87" s="243"/>
      <c r="J87" s="262"/>
      <c r="K87" s="88"/>
      <c r="L87" s="143">
        <f t="shared" ref="L87:L96" si="13">TRUNC(H87*J87,2)</f>
        <v>0</v>
      </c>
      <c r="N87" s="81"/>
      <c r="R87" s="79" t="str">
        <f t="shared" ref="R87:R96" si="14">IF(AND(($L87&gt;0),ISBLANK(B87)),B87,"NOT")</f>
        <v>NOT</v>
      </c>
      <c r="S87" s="79" t="str">
        <f t="shared" ref="S87:S96" si="15">IF(AND(($L87&gt;0),ISBLANK(D87)),D87,"NOT")</f>
        <v>NOT</v>
      </c>
      <c r="T87" s="79" t="str">
        <f t="shared" ref="T87:T96" si="16">IF(AND(($L87&gt;0),ISBLANK(F87)),F87,"NOT")</f>
        <v>NOT</v>
      </c>
      <c r="V87" s="79" t="str">
        <f t="shared" ref="V87:V96" si="17">LEFT(D87,3)</f>
        <v/>
      </c>
    </row>
    <row r="88" spans="1:22" x14ac:dyDescent="0.2">
      <c r="B88" s="259"/>
      <c r="C88" s="88"/>
      <c r="D88" s="260"/>
      <c r="E88" s="243"/>
      <c r="F88" s="261"/>
      <c r="G88" s="243"/>
      <c r="H88" s="262"/>
      <c r="I88" s="243"/>
      <c r="J88" s="262"/>
      <c r="K88" s="88"/>
      <c r="L88" s="143">
        <f t="shared" si="13"/>
        <v>0</v>
      </c>
      <c r="N88" s="81"/>
      <c r="R88" s="79" t="str">
        <f t="shared" si="14"/>
        <v>NOT</v>
      </c>
      <c r="S88" s="79" t="str">
        <f t="shared" si="15"/>
        <v>NOT</v>
      </c>
      <c r="T88" s="79" t="str">
        <f t="shared" si="16"/>
        <v>NOT</v>
      </c>
      <c r="V88" s="79" t="str">
        <f t="shared" si="17"/>
        <v/>
      </c>
    </row>
    <row r="89" spans="1:22" x14ac:dyDescent="0.2">
      <c r="B89" s="259"/>
      <c r="C89" s="88"/>
      <c r="D89" s="260"/>
      <c r="E89" s="243"/>
      <c r="F89" s="261"/>
      <c r="G89" s="243"/>
      <c r="H89" s="262"/>
      <c r="I89" s="243"/>
      <c r="J89" s="262"/>
      <c r="K89" s="88"/>
      <c r="L89" s="143">
        <f t="shared" si="13"/>
        <v>0</v>
      </c>
      <c r="N89" s="81"/>
      <c r="R89" s="79" t="str">
        <f t="shared" si="14"/>
        <v>NOT</v>
      </c>
      <c r="S89" s="79" t="str">
        <f t="shared" si="15"/>
        <v>NOT</v>
      </c>
      <c r="T89" s="79" t="str">
        <f t="shared" si="16"/>
        <v>NOT</v>
      </c>
      <c r="V89" s="79" t="str">
        <f t="shared" si="17"/>
        <v/>
      </c>
    </row>
    <row r="90" spans="1:22" x14ac:dyDescent="0.2">
      <c r="B90" s="259"/>
      <c r="C90" s="88"/>
      <c r="D90" s="260"/>
      <c r="E90" s="243"/>
      <c r="F90" s="261"/>
      <c r="G90" s="243"/>
      <c r="H90" s="262"/>
      <c r="I90" s="243"/>
      <c r="J90" s="262"/>
      <c r="K90" s="88"/>
      <c r="L90" s="143">
        <f t="shared" si="13"/>
        <v>0</v>
      </c>
      <c r="N90" s="81"/>
      <c r="R90" s="79" t="str">
        <f t="shared" si="14"/>
        <v>NOT</v>
      </c>
      <c r="S90" s="79" t="str">
        <f t="shared" si="15"/>
        <v>NOT</v>
      </c>
      <c r="T90" s="79" t="str">
        <f t="shared" si="16"/>
        <v>NOT</v>
      </c>
      <c r="V90" s="79" t="str">
        <f t="shared" si="17"/>
        <v/>
      </c>
    </row>
    <row r="91" spans="1:22" x14ac:dyDescent="0.2">
      <c r="B91" s="259"/>
      <c r="C91" s="88"/>
      <c r="D91" s="260"/>
      <c r="E91" s="243"/>
      <c r="F91" s="261"/>
      <c r="G91" s="243"/>
      <c r="H91" s="262"/>
      <c r="I91" s="243"/>
      <c r="J91" s="262"/>
      <c r="K91" s="88"/>
      <c r="L91" s="143">
        <f t="shared" si="13"/>
        <v>0</v>
      </c>
      <c r="N91" s="81"/>
      <c r="R91" s="79" t="str">
        <f t="shared" si="14"/>
        <v>NOT</v>
      </c>
      <c r="S91" s="79" t="str">
        <f t="shared" si="15"/>
        <v>NOT</v>
      </c>
      <c r="T91" s="79" t="str">
        <f t="shared" si="16"/>
        <v>NOT</v>
      </c>
      <c r="V91" s="79" t="str">
        <f t="shared" si="17"/>
        <v/>
      </c>
    </row>
    <row r="92" spans="1:22" x14ac:dyDescent="0.2">
      <c r="B92" s="259"/>
      <c r="C92" s="88"/>
      <c r="D92" s="260"/>
      <c r="E92" s="243"/>
      <c r="F92" s="261"/>
      <c r="G92" s="243"/>
      <c r="H92" s="262"/>
      <c r="I92" s="243"/>
      <c r="J92" s="262"/>
      <c r="K92" s="88"/>
      <c r="L92" s="143">
        <f t="shared" si="13"/>
        <v>0</v>
      </c>
      <c r="N92" s="81"/>
      <c r="R92" s="79" t="str">
        <f t="shared" si="14"/>
        <v>NOT</v>
      </c>
      <c r="S92" s="79" t="str">
        <f t="shared" si="15"/>
        <v>NOT</v>
      </c>
      <c r="T92" s="79" t="str">
        <f t="shared" si="16"/>
        <v>NOT</v>
      </c>
      <c r="V92" s="79" t="str">
        <f t="shared" si="17"/>
        <v/>
      </c>
    </row>
    <row r="93" spans="1:22" x14ac:dyDescent="0.2">
      <c r="B93" s="259"/>
      <c r="C93" s="88"/>
      <c r="D93" s="260"/>
      <c r="E93" s="243"/>
      <c r="F93" s="261"/>
      <c r="G93" s="243"/>
      <c r="H93" s="262"/>
      <c r="I93" s="243"/>
      <c r="J93" s="262"/>
      <c r="K93" s="88"/>
      <c r="L93" s="143">
        <f t="shared" si="13"/>
        <v>0</v>
      </c>
      <c r="N93" s="81"/>
      <c r="R93" s="79" t="str">
        <f t="shared" si="14"/>
        <v>NOT</v>
      </c>
      <c r="S93" s="79" t="str">
        <f t="shared" si="15"/>
        <v>NOT</v>
      </c>
      <c r="T93" s="79" t="str">
        <f t="shared" si="16"/>
        <v>NOT</v>
      </c>
      <c r="V93" s="79" t="str">
        <f t="shared" si="17"/>
        <v/>
      </c>
    </row>
    <row r="94" spans="1:22" x14ac:dyDescent="0.2">
      <c r="B94" s="259"/>
      <c r="C94" s="88"/>
      <c r="D94" s="260"/>
      <c r="E94" s="243"/>
      <c r="F94" s="261"/>
      <c r="G94" s="243"/>
      <c r="H94" s="262"/>
      <c r="I94" s="243"/>
      <c r="J94" s="262"/>
      <c r="K94" s="88"/>
      <c r="L94" s="143">
        <f t="shared" si="13"/>
        <v>0</v>
      </c>
      <c r="N94" s="81"/>
      <c r="R94" s="79" t="str">
        <f t="shared" si="14"/>
        <v>NOT</v>
      </c>
      <c r="S94" s="79" t="str">
        <f t="shared" si="15"/>
        <v>NOT</v>
      </c>
      <c r="T94" s="79" t="str">
        <f t="shared" si="16"/>
        <v>NOT</v>
      </c>
      <c r="V94" s="79" t="str">
        <f t="shared" si="17"/>
        <v/>
      </c>
    </row>
    <row r="95" spans="1:22" x14ac:dyDescent="0.2">
      <c r="B95" s="259"/>
      <c r="C95" s="88"/>
      <c r="D95" s="260"/>
      <c r="E95" s="243"/>
      <c r="F95" s="261"/>
      <c r="G95" s="243"/>
      <c r="H95" s="262"/>
      <c r="I95" s="243"/>
      <c r="J95" s="262"/>
      <c r="K95" s="88"/>
      <c r="L95" s="143">
        <f t="shared" si="13"/>
        <v>0</v>
      </c>
      <c r="N95" s="81"/>
      <c r="R95" s="79" t="str">
        <f t="shared" si="14"/>
        <v>NOT</v>
      </c>
      <c r="S95" s="79" t="str">
        <f t="shared" si="15"/>
        <v>NOT</v>
      </c>
      <c r="T95" s="79" t="str">
        <f t="shared" si="16"/>
        <v>NOT</v>
      </c>
      <c r="V95" s="79" t="str">
        <f t="shared" si="17"/>
        <v/>
      </c>
    </row>
    <row r="96" spans="1:22" x14ac:dyDescent="0.2">
      <c r="B96" s="259"/>
      <c r="C96" s="88"/>
      <c r="D96" s="260"/>
      <c r="E96" s="243"/>
      <c r="F96" s="261"/>
      <c r="G96" s="243"/>
      <c r="H96" s="262"/>
      <c r="I96" s="243"/>
      <c r="J96" s="262"/>
      <c r="K96" s="88"/>
      <c r="L96" s="143">
        <f t="shared" si="13"/>
        <v>0</v>
      </c>
      <c r="N96" s="81"/>
      <c r="R96" s="79" t="str">
        <f t="shared" si="14"/>
        <v>NOT</v>
      </c>
      <c r="S96" s="79" t="str">
        <f t="shared" si="15"/>
        <v>NOT</v>
      </c>
      <c r="T96" s="79" t="str">
        <f t="shared" si="16"/>
        <v>NOT</v>
      </c>
      <c r="V96" s="79" t="str">
        <f t="shared" si="17"/>
        <v/>
      </c>
    </row>
    <row r="97" spans="1:22" x14ac:dyDescent="0.2">
      <c r="B97" s="104"/>
      <c r="C97" s="88"/>
      <c r="D97" s="81"/>
      <c r="F97" s="81"/>
      <c r="H97" s="81"/>
      <c r="J97" s="81"/>
      <c r="K97" s="88"/>
      <c r="L97" s="81"/>
      <c r="N97" s="227"/>
    </row>
    <row r="98" spans="1:22" x14ac:dyDescent="0.2">
      <c r="B98" s="104"/>
      <c r="C98" s="88"/>
      <c r="D98" s="81"/>
      <c r="F98" s="81"/>
      <c r="H98" s="81"/>
      <c r="J98" s="81"/>
      <c r="K98" s="88"/>
      <c r="L98" s="81"/>
      <c r="N98" s="227"/>
    </row>
    <row r="99" spans="1:22" ht="27" customHeight="1" x14ac:dyDescent="0.2">
      <c r="A99" s="247">
        <v>5</v>
      </c>
      <c r="B99" s="248" t="s">
        <v>290</v>
      </c>
      <c r="C99" s="249"/>
      <c r="D99" s="760"/>
      <c r="E99" s="761"/>
      <c r="F99" s="761"/>
      <c r="G99" s="761"/>
      <c r="H99" s="762"/>
      <c r="I99" s="250"/>
      <c r="J99" s="251" t="s">
        <v>18</v>
      </c>
      <c r="K99" s="249"/>
      <c r="L99" s="252">
        <f>L101+L112+L130+L148+L162+L174+L192</f>
        <v>0</v>
      </c>
      <c r="M99" s="250"/>
      <c r="N99" s="253">
        <f>IF(L99=0,0%,L99/L$8)</f>
        <v>0</v>
      </c>
      <c r="O99" s="94"/>
      <c r="P99" s="95"/>
      <c r="Q99" s="79" t="str">
        <f>IF(N99&gt;O99,D99,"")</f>
        <v/>
      </c>
    </row>
    <row r="100" spans="1:22" s="76" customFormat="1" ht="7.5" customHeight="1" x14ac:dyDescent="0.2">
      <c r="A100" s="87"/>
      <c r="B100" s="88"/>
      <c r="C100" s="88"/>
      <c r="D100" s="70"/>
      <c r="E100" s="70"/>
      <c r="F100" s="70"/>
      <c r="G100" s="70"/>
      <c r="H100" s="70"/>
      <c r="I100" s="70"/>
      <c r="J100" s="70"/>
      <c r="K100" s="88"/>
      <c r="L100" s="70"/>
      <c r="M100" s="70"/>
      <c r="N100" s="70"/>
      <c r="O100" s="89"/>
      <c r="V100" s="79"/>
    </row>
    <row r="101" spans="1:22" ht="13.5" customHeight="1" x14ac:dyDescent="0.2">
      <c r="A101" s="276"/>
      <c r="B101" s="278" t="s">
        <v>291</v>
      </c>
      <c r="C101" s="277"/>
      <c r="D101" s="747" t="s">
        <v>166</v>
      </c>
      <c r="E101" s="748"/>
      <c r="F101" s="748"/>
      <c r="G101" s="748"/>
      <c r="H101" s="748"/>
      <c r="I101" s="279"/>
      <c r="J101" s="280" t="s">
        <v>18</v>
      </c>
      <c r="K101" s="88"/>
      <c r="L101" s="156">
        <f>SUM(L108:L110)</f>
        <v>0</v>
      </c>
      <c r="M101" s="246"/>
      <c r="N101" s="147">
        <f>IF(L101=0,0%,L101/L$8)</f>
        <v>0</v>
      </c>
      <c r="O101" s="495">
        <f>IF(LEN(R101)&gt;3,1,0)</f>
        <v>0</v>
      </c>
      <c r="R101" s="79" t="str">
        <f>IF(AND(R107="NOT",S107="NOT",T107="NOT"),"NOT",D101)</f>
        <v>NOT</v>
      </c>
    </row>
    <row r="102" spans="1:22" s="76" customFormat="1" ht="3" customHeight="1" x14ac:dyDescent="0.2">
      <c r="A102" s="87"/>
      <c r="B102" s="88"/>
      <c r="C102" s="88"/>
      <c r="D102" s="70"/>
      <c r="E102" s="70"/>
      <c r="F102" s="70"/>
      <c r="G102" s="70"/>
      <c r="H102" s="70"/>
      <c r="I102" s="70"/>
      <c r="J102" s="70"/>
      <c r="K102" s="88"/>
      <c r="L102" s="70"/>
      <c r="M102" s="70"/>
      <c r="N102" s="70"/>
      <c r="O102" s="89"/>
      <c r="V102" s="79"/>
    </row>
    <row r="103" spans="1:22" x14ac:dyDescent="0.2">
      <c r="B103" s="742" t="s">
        <v>197</v>
      </c>
      <c r="C103" s="743"/>
      <c r="D103" s="743"/>
      <c r="E103" s="743"/>
      <c r="F103" s="743"/>
      <c r="H103" s="81"/>
      <c r="J103" s="81"/>
      <c r="K103" s="88"/>
      <c r="L103" s="81"/>
      <c r="N103" s="227"/>
      <c r="R103" s="79" t="str">
        <f>IF(AND(($L101&gt;0),ISBLANK(B105)),B103,"NOT")</f>
        <v>NOT</v>
      </c>
    </row>
    <row r="104" spans="1:22" ht="3" customHeight="1" x14ac:dyDescent="0.2">
      <c r="B104" s="104"/>
      <c r="C104" s="88"/>
      <c r="D104" s="81"/>
      <c r="F104" s="81"/>
      <c r="H104" s="81"/>
      <c r="J104" s="81"/>
      <c r="K104" s="88"/>
      <c r="L104" s="81"/>
      <c r="N104" s="227"/>
    </row>
    <row r="105" spans="1:22" ht="36" customHeight="1" x14ac:dyDescent="0.2">
      <c r="B105" s="744"/>
      <c r="C105" s="745"/>
      <c r="D105" s="745"/>
      <c r="E105" s="745"/>
      <c r="F105" s="745"/>
      <c r="G105" s="745"/>
      <c r="H105" s="745"/>
      <c r="I105" s="745"/>
      <c r="J105" s="745"/>
      <c r="K105" s="745"/>
      <c r="L105" s="746"/>
      <c r="M105" s="70" t="s">
        <v>19</v>
      </c>
      <c r="N105" s="227"/>
    </row>
    <row r="106" spans="1:22" ht="3.75" customHeight="1" x14ac:dyDescent="0.2">
      <c r="B106" s="104"/>
      <c r="C106" s="88"/>
      <c r="D106" s="81"/>
      <c r="F106" s="81"/>
      <c r="H106" s="81"/>
      <c r="J106" s="81"/>
      <c r="K106" s="88"/>
      <c r="L106" s="81"/>
      <c r="N106" s="227"/>
    </row>
    <row r="107" spans="1:22" ht="12.75" customHeight="1" x14ac:dyDescent="0.2">
      <c r="B107" s="244" t="s">
        <v>17</v>
      </c>
      <c r="C107" s="88"/>
      <c r="D107" s="244" t="s">
        <v>580</v>
      </c>
      <c r="F107" s="244" t="s">
        <v>205</v>
      </c>
      <c r="H107" s="244" t="s">
        <v>16</v>
      </c>
      <c r="J107" s="244" t="s">
        <v>15</v>
      </c>
      <c r="K107" s="245"/>
      <c r="L107" s="103" t="s">
        <v>141</v>
      </c>
      <c r="N107" s="81"/>
      <c r="R107" s="255" t="str">
        <f>IF(AND(R108="NOT",R109="NOT",R110="NOT",R103="NOT"),"NOT",D101)</f>
        <v>NOT</v>
      </c>
      <c r="S107" s="255" t="str">
        <f>IF(AND(S108="NOT",S109="NOT",S110="NOT",R103="NOT"),"NOT",D101)</f>
        <v>NOT</v>
      </c>
      <c r="T107" s="255" t="str">
        <f>IF(AND(T108="NOT",T109="NOT",T110="NOT",R103="NOT"),"NOT",D101)</f>
        <v>NOT</v>
      </c>
    </row>
    <row r="108" spans="1:22" x14ac:dyDescent="0.2">
      <c r="B108" s="259"/>
      <c r="C108" s="88"/>
      <c r="D108" s="260"/>
      <c r="E108" s="243"/>
      <c r="F108" s="261"/>
      <c r="G108" s="243"/>
      <c r="H108" s="262"/>
      <c r="I108" s="243"/>
      <c r="J108" s="262"/>
      <c r="K108" s="88"/>
      <c r="L108" s="143">
        <f>TRUNC(H108*J108,2)</f>
        <v>0</v>
      </c>
      <c r="N108" s="81"/>
      <c r="R108" s="79" t="str">
        <f>IF(AND(($L108&gt;0),ISBLANK(B108)),B108,"NOT")</f>
        <v>NOT</v>
      </c>
      <c r="S108" s="79" t="str">
        <f>IF(AND(($L108&gt;0),ISBLANK(D108)),D108,"NOT")</f>
        <v>NOT</v>
      </c>
      <c r="T108" s="79" t="str">
        <f>IF(AND(($L108&gt;0),ISBLANK(F108)),F108,"NOT")</f>
        <v>NOT</v>
      </c>
      <c r="V108" s="79" t="str">
        <f>LEFT(D108,3)</f>
        <v/>
      </c>
    </row>
    <row r="109" spans="1:22" x14ac:dyDescent="0.2">
      <c r="B109" s="259"/>
      <c r="C109" s="88"/>
      <c r="D109" s="260"/>
      <c r="E109" s="243"/>
      <c r="F109" s="261"/>
      <c r="G109" s="243"/>
      <c r="H109" s="262"/>
      <c r="I109" s="243"/>
      <c r="J109" s="262"/>
      <c r="K109" s="88"/>
      <c r="L109" s="143">
        <f>TRUNC(H109*J109,2)</f>
        <v>0</v>
      </c>
      <c r="N109" s="81"/>
      <c r="R109" s="79" t="str">
        <f>IF(AND(($L109&gt;0),ISBLANK(B109)),B109,"NOT")</f>
        <v>NOT</v>
      </c>
      <c r="S109" s="79" t="str">
        <f>IF(AND(($L109&gt;0),ISBLANK(D109)),D109,"NOT")</f>
        <v>NOT</v>
      </c>
      <c r="T109" s="79" t="str">
        <f>IF(AND(($L109&gt;0),ISBLANK(F109)),F109,"NOT")</f>
        <v>NOT</v>
      </c>
      <c r="V109" s="79" t="str">
        <f>LEFT(D109,3)</f>
        <v/>
      </c>
    </row>
    <row r="110" spans="1:22" x14ac:dyDescent="0.2">
      <c r="B110" s="259"/>
      <c r="C110" s="88"/>
      <c r="D110" s="260"/>
      <c r="E110" s="243"/>
      <c r="F110" s="261"/>
      <c r="G110" s="243"/>
      <c r="H110" s="262"/>
      <c r="I110" s="243"/>
      <c r="J110" s="262"/>
      <c r="K110" s="88"/>
      <c r="L110" s="143">
        <f>TRUNC(H110*J110,2)</f>
        <v>0</v>
      </c>
      <c r="N110" s="81"/>
      <c r="R110" s="79" t="str">
        <f>IF(AND(($L110&gt;0),ISBLANK(B110)),B110,"NOT")</f>
        <v>NOT</v>
      </c>
      <c r="S110" s="79" t="str">
        <f>IF(AND(($L110&gt;0),ISBLANK(D110)),D110,"NOT")</f>
        <v>NOT</v>
      </c>
      <c r="T110" s="79" t="str">
        <f>IF(AND(($L110&gt;0),ISBLANK(F110)),F110,"NOT")</f>
        <v>NOT</v>
      </c>
      <c r="V110" s="79" t="str">
        <f>LEFT(D110,3)</f>
        <v/>
      </c>
    </row>
    <row r="111" spans="1:22" x14ac:dyDescent="0.2">
      <c r="B111" s="104"/>
      <c r="C111" s="88"/>
      <c r="D111" s="81"/>
      <c r="F111" s="81"/>
      <c r="H111" s="81"/>
      <c r="J111" s="81"/>
      <c r="K111" s="88"/>
      <c r="L111" s="81"/>
      <c r="N111" s="227"/>
    </row>
    <row r="112" spans="1:22" ht="25.5" customHeight="1" x14ac:dyDescent="0.2">
      <c r="A112" s="276"/>
      <c r="B112" s="278" t="s">
        <v>292</v>
      </c>
      <c r="C112" s="277"/>
      <c r="D112" s="747" t="s">
        <v>166</v>
      </c>
      <c r="E112" s="748"/>
      <c r="F112" s="748"/>
      <c r="G112" s="748"/>
      <c r="H112" s="748"/>
      <c r="I112" s="279"/>
      <c r="J112" s="280" t="s">
        <v>18</v>
      </c>
      <c r="K112" s="88"/>
      <c r="L112" s="156">
        <f>SUM(L119:L128)</f>
        <v>0</v>
      </c>
      <c r="M112" s="246"/>
      <c r="N112" s="147">
        <f>IF(L112=0,0%,L112/L$8)</f>
        <v>0</v>
      </c>
      <c r="O112" s="495">
        <f>IF(LEN(R112)&gt;3,1,0)</f>
        <v>0</v>
      </c>
      <c r="R112" s="79" t="str">
        <f>IF(AND(R118="NOT",S118="NOT",T118="NOT"),"NOT",D112)</f>
        <v>NOT</v>
      </c>
    </row>
    <row r="113" spans="1:22" s="76" customFormat="1" ht="3" customHeight="1" x14ac:dyDescent="0.2">
      <c r="A113" s="87"/>
      <c r="B113" s="88"/>
      <c r="C113" s="88"/>
      <c r="D113" s="70"/>
      <c r="E113" s="70"/>
      <c r="F113" s="70"/>
      <c r="G113" s="70"/>
      <c r="H113" s="70"/>
      <c r="I113" s="70"/>
      <c r="J113" s="70"/>
      <c r="K113" s="88"/>
      <c r="L113" s="70"/>
      <c r="M113" s="70"/>
      <c r="N113" s="70"/>
      <c r="O113" s="89"/>
      <c r="V113" s="79"/>
    </row>
    <row r="114" spans="1:22" ht="25.5" customHeight="1" x14ac:dyDescent="0.2">
      <c r="B114" s="749" t="s">
        <v>203</v>
      </c>
      <c r="C114" s="787"/>
      <c r="D114" s="787"/>
      <c r="E114" s="787"/>
      <c r="F114" s="787"/>
      <c r="H114" s="81"/>
      <c r="J114" s="81"/>
      <c r="K114" s="88"/>
      <c r="L114" s="81"/>
      <c r="N114" s="227"/>
      <c r="R114" s="79" t="str">
        <f>IF(AND(($L112&gt;0),ISBLANK(B116)),B114,"NOT")</f>
        <v>NOT</v>
      </c>
    </row>
    <row r="115" spans="1:22" ht="3" customHeight="1" x14ac:dyDescent="0.2">
      <c r="B115" s="104"/>
      <c r="C115" s="88"/>
      <c r="D115" s="81"/>
      <c r="F115" s="81"/>
      <c r="H115" s="81"/>
      <c r="J115" s="81"/>
      <c r="K115" s="88"/>
      <c r="L115" s="81"/>
      <c r="N115" s="227"/>
    </row>
    <row r="116" spans="1:22" ht="60" customHeight="1" x14ac:dyDescent="0.2">
      <c r="B116" s="744"/>
      <c r="C116" s="745"/>
      <c r="D116" s="745"/>
      <c r="E116" s="745"/>
      <c r="F116" s="745"/>
      <c r="G116" s="745"/>
      <c r="H116" s="745"/>
      <c r="I116" s="745"/>
      <c r="J116" s="745"/>
      <c r="K116" s="745"/>
      <c r="L116" s="746"/>
      <c r="M116" s="70" t="s">
        <v>19</v>
      </c>
      <c r="N116" s="227"/>
    </row>
    <row r="117" spans="1:22" ht="3.75" customHeight="1" x14ac:dyDescent="0.2">
      <c r="B117" s="104"/>
      <c r="C117" s="88"/>
      <c r="D117" s="81"/>
      <c r="F117" s="81"/>
      <c r="H117" s="81"/>
      <c r="J117" s="81"/>
      <c r="K117" s="88"/>
      <c r="L117" s="81"/>
      <c r="N117" s="227"/>
    </row>
    <row r="118" spans="1:22" ht="25.5" x14ac:dyDescent="0.2">
      <c r="B118" s="244" t="s">
        <v>579</v>
      </c>
      <c r="C118" s="88"/>
      <c r="D118" s="244" t="s">
        <v>580</v>
      </c>
      <c r="F118" s="244" t="s">
        <v>205</v>
      </c>
      <c r="H118" s="244" t="s">
        <v>16</v>
      </c>
      <c r="J118" s="244" t="s">
        <v>15</v>
      </c>
      <c r="K118" s="245"/>
      <c r="L118" s="103" t="s">
        <v>141</v>
      </c>
      <c r="N118" s="81"/>
      <c r="R118" s="255" t="str">
        <f>IF(AND(R119="NOT",R120="NOT",R121="NOT",R122="NOT",R123="NOT",R124="NOT",R125="NOT",R126="NOT",R127="NOT",R128="NOT",R114="NOT"),"NOT",D112)</f>
        <v>NOT</v>
      </c>
      <c r="S118" s="255" t="str">
        <f>IF(AND(S119="NOT",S120="NOT",S121="NOT",S122="NOT",S123="NOT",S124="NOT",S125="NOT",S126="NOT",S127="NOT",S128="NOT",R114="NOT"),"NOT",D112)</f>
        <v>NOT</v>
      </c>
      <c r="T118" s="255" t="str">
        <f>IF(AND(T119="NOT",T120="NOT",T121="NOT",T122="NOT",T123="NOT",T124="NOT",T125="NOT",T126="NOT",T127="NOT",T128="NOT",R114="NOT"),"NOT",D112)</f>
        <v>NOT</v>
      </c>
    </row>
    <row r="119" spans="1:22" x14ac:dyDescent="0.2">
      <c r="B119" s="259"/>
      <c r="C119" s="88"/>
      <c r="D119" s="260"/>
      <c r="E119" s="243"/>
      <c r="F119" s="261"/>
      <c r="G119" s="243"/>
      <c r="H119" s="262"/>
      <c r="I119" s="243"/>
      <c r="J119" s="262"/>
      <c r="K119" s="88"/>
      <c r="L119" s="143">
        <f t="shared" ref="L119:L128" si="18">TRUNC(H119*J119,2)</f>
        <v>0</v>
      </c>
      <c r="N119" s="81"/>
      <c r="R119" s="79" t="str">
        <f t="shared" ref="R119:R128" si="19">IF(AND(($L119&gt;0),ISBLANK(B119)),B119,"NOT")</f>
        <v>NOT</v>
      </c>
      <c r="S119" s="79" t="str">
        <f t="shared" ref="S119:S128" si="20">IF(AND(($L119&gt;0),ISBLANK(D119)),D119,"NOT")</f>
        <v>NOT</v>
      </c>
      <c r="T119" s="79" t="str">
        <f t="shared" ref="T119:T128" si="21">IF(AND(($L119&gt;0),ISBLANK(F119)),F119,"NOT")</f>
        <v>NOT</v>
      </c>
      <c r="V119" s="79" t="str">
        <f t="shared" ref="V119:V128" si="22">LEFT(D119,3)</f>
        <v/>
      </c>
    </row>
    <row r="120" spans="1:22" x14ac:dyDescent="0.2">
      <c r="B120" s="259"/>
      <c r="C120" s="88"/>
      <c r="D120" s="260"/>
      <c r="E120" s="243"/>
      <c r="F120" s="261"/>
      <c r="G120" s="243"/>
      <c r="H120" s="262"/>
      <c r="I120" s="243"/>
      <c r="J120" s="262"/>
      <c r="K120" s="88"/>
      <c r="L120" s="143">
        <f t="shared" si="18"/>
        <v>0</v>
      </c>
      <c r="N120" s="81"/>
      <c r="R120" s="79" t="str">
        <f t="shared" si="19"/>
        <v>NOT</v>
      </c>
      <c r="S120" s="79" t="str">
        <f t="shared" si="20"/>
        <v>NOT</v>
      </c>
      <c r="T120" s="79" t="str">
        <f t="shared" si="21"/>
        <v>NOT</v>
      </c>
      <c r="V120" s="79" t="str">
        <f t="shared" si="22"/>
        <v/>
      </c>
    </row>
    <row r="121" spans="1:22" x14ac:dyDescent="0.2">
      <c r="B121" s="259"/>
      <c r="C121" s="88"/>
      <c r="D121" s="260"/>
      <c r="E121" s="243"/>
      <c r="F121" s="261"/>
      <c r="G121" s="243"/>
      <c r="H121" s="262"/>
      <c r="I121" s="243"/>
      <c r="J121" s="262"/>
      <c r="K121" s="88"/>
      <c r="L121" s="143">
        <f t="shared" si="18"/>
        <v>0</v>
      </c>
      <c r="N121" s="81"/>
      <c r="R121" s="79" t="str">
        <f t="shared" si="19"/>
        <v>NOT</v>
      </c>
      <c r="S121" s="79" t="str">
        <f t="shared" si="20"/>
        <v>NOT</v>
      </c>
      <c r="T121" s="79" t="str">
        <f t="shared" si="21"/>
        <v>NOT</v>
      </c>
      <c r="V121" s="79" t="str">
        <f t="shared" si="22"/>
        <v/>
      </c>
    </row>
    <row r="122" spans="1:22" x14ac:dyDescent="0.2">
      <c r="B122" s="259"/>
      <c r="C122" s="88"/>
      <c r="D122" s="260"/>
      <c r="E122" s="243"/>
      <c r="F122" s="261"/>
      <c r="G122" s="243"/>
      <c r="H122" s="262"/>
      <c r="I122" s="243"/>
      <c r="J122" s="262"/>
      <c r="K122" s="88"/>
      <c r="L122" s="143">
        <f t="shared" si="18"/>
        <v>0</v>
      </c>
      <c r="N122" s="81"/>
      <c r="R122" s="79" t="str">
        <f t="shared" si="19"/>
        <v>NOT</v>
      </c>
      <c r="S122" s="79" t="str">
        <f t="shared" si="20"/>
        <v>NOT</v>
      </c>
      <c r="T122" s="79" t="str">
        <f t="shared" si="21"/>
        <v>NOT</v>
      </c>
      <c r="V122" s="79" t="str">
        <f t="shared" si="22"/>
        <v/>
      </c>
    </row>
    <row r="123" spans="1:22" x14ac:dyDescent="0.2">
      <c r="B123" s="259"/>
      <c r="C123" s="88"/>
      <c r="D123" s="260"/>
      <c r="E123" s="243"/>
      <c r="F123" s="261"/>
      <c r="G123" s="243"/>
      <c r="H123" s="262"/>
      <c r="I123" s="243"/>
      <c r="J123" s="262"/>
      <c r="K123" s="88"/>
      <c r="L123" s="143">
        <f t="shared" si="18"/>
        <v>0</v>
      </c>
      <c r="N123" s="81"/>
      <c r="R123" s="79" t="str">
        <f t="shared" si="19"/>
        <v>NOT</v>
      </c>
      <c r="S123" s="79" t="str">
        <f t="shared" si="20"/>
        <v>NOT</v>
      </c>
      <c r="T123" s="79" t="str">
        <f t="shared" si="21"/>
        <v>NOT</v>
      </c>
      <c r="V123" s="79" t="str">
        <f t="shared" si="22"/>
        <v/>
      </c>
    </row>
    <row r="124" spans="1:22" x14ac:dyDescent="0.2">
      <c r="B124" s="259"/>
      <c r="C124" s="88"/>
      <c r="D124" s="260"/>
      <c r="E124" s="243"/>
      <c r="F124" s="261"/>
      <c r="G124" s="243"/>
      <c r="H124" s="262"/>
      <c r="I124" s="243"/>
      <c r="J124" s="262"/>
      <c r="K124" s="88"/>
      <c r="L124" s="143">
        <f t="shared" si="18"/>
        <v>0</v>
      </c>
      <c r="N124" s="81"/>
      <c r="R124" s="79" t="str">
        <f t="shared" si="19"/>
        <v>NOT</v>
      </c>
      <c r="S124" s="79" t="str">
        <f t="shared" si="20"/>
        <v>NOT</v>
      </c>
      <c r="T124" s="79" t="str">
        <f t="shared" si="21"/>
        <v>NOT</v>
      </c>
      <c r="V124" s="79" t="str">
        <f t="shared" si="22"/>
        <v/>
      </c>
    </row>
    <row r="125" spans="1:22" x14ac:dyDescent="0.2">
      <c r="B125" s="259"/>
      <c r="C125" s="88"/>
      <c r="D125" s="260"/>
      <c r="E125" s="243"/>
      <c r="F125" s="261"/>
      <c r="G125" s="243"/>
      <c r="H125" s="262"/>
      <c r="I125" s="243"/>
      <c r="J125" s="262"/>
      <c r="K125" s="88"/>
      <c r="L125" s="143">
        <f t="shared" si="18"/>
        <v>0</v>
      </c>
      <c r="N125" s="81"/>
      <c r="R125" s="79" t="str">
        <f t="shared" si="19"/>
        <v>NOT</v>
      </c>
      <c r="S125" s="79" t="str">
        <f t="shared" si="20"/>
        <v>NOT</v>
      </c>
      <c r="T125" s="79" t="str">
        <f t="shared" si="21"/>
        <v>NOT</v>
      </c>
      <c r="V125" s="79" t="str">
        <f t="shared" si="22"/>
        <v/>
      </c>
    </row>
    <row r="126" spans="1:22" x14ac:dyDescent="0.2">
      <c r="B126" s="259"/>
      <c r="C126" s="88"/>
      <c r="D126" s="260"/>
      <c r="E126" s="243"/>
      <c r="F126" s="261"/>
      <c r="G126" s="243"/>
      <c r="H126" s="262"/>
      <c r="I126" s="243"/>
      <c r="J126" s="262"/>
      <c r="K126" s="88"/>
      <c r="L126" s="143">
        <f t="shared" si="18"/>
        <v>0</v>
      </c>
      <c r="N126" s="81"/>
      <c r="R126" s="79" t="str">
        <f t="shared" si="19"/>
        <v>NOT</v>
      </c>
      <c r="S126" s="79" t="str">
        <f t="shared" si="20"/>
        <v>NOT</v>
      </c>
      <c r="T126" s="79" t="str">
        <f t="shared" si="21"/>
        <v>NOT</v>
      </c>
      <c r="V126" s="79" t="str">
        <f t="shared" si="22"/>
        <v/>
      </c>
    </row>
    <row r="127" spans="1:22" x14ac:dyDescent="0.2">
      <c r="B127" s="259"/>
      <c r="C127" s="88"/>
      <c r="D127" s="260"/>
      <c r="E127" s="243"/>
      <c r="F127" s="261"/>
      <c r="G127" s="243"/>
      <c r="H127" s="262"/>
      <c r="I127" s="243"/>
      <c r="J127" s="262"/>
      <c r="K127" s="88"/>
      <c r="L127" s="143">
        <f t="shared" si="18"/>
        <v>0</v>
      </c>
      <c r="N127" s="81"/>
      <c r="R127" s="79" t="str">
        <f t="shared" si="19"/>
        <v>NOT</v>
      </c>
      <c r="S127" s="79" t="str">
        <f t="shared" si="20"/>
        <v>NOT</v>
      </c>
      <c r="T127" s="79" t="str">
        <f t="shared" si="21"/>
        <v>NOT</v>
      </c>
      <c r="V127" s="79" t="str">
        <f t="shared" si="22"/>
        <v/>
      </c>
    </row>
    <row r="128" spans="1:22" x14ac:dyDescent="0.2">
      <c r="B128" s="259"/>
      <c r="C128" s="88"/>
      <c r="D128" s="260"/>
      <c r="E128" s="243"/>
      <c r="F128" s="261"/>
      <c r="G128" s="243"/>
      <c r="H128" s="262"/>
      <c r="I128" s="243"/>
      <c r="J128" s="262"/>
      <c r="K128" s="88"/>
      <c r="L128" s="143">
        <f t="shared" si="18"/>
        <v>0</v>
      </c>
      <c r="N128" s="81"/>
      <c r="R128" s="79" t="str">
        <f t="shared" si="19"/>
        <v>NOT</v>
      </c>
      <c r="S128" s="79" t="str">
        <f t="shared" si="20"/>
        <v>NOT</v>
      </c>
      <c r="T128" s="79" t="str">
        <f t="shared" si="21"/>
        <v>NOT</v>
      </c>
      <c r="V128" s="79" t="str">
        <f t="shared" si="22"/>
        <v/>
      </c>
    </row>
    <row r="129" spans="1:22" s="76" customFormat="1" ht="12.75" customHeight="1" x14ac:dyDescent="0.2">
      <c r="A129" s="87"/>
      <c r="B129" s="88"/>
      <c r="C129" s="88"/>
      <c r="D129" s="70"/>
      <c r="E129" s="70"/>
      <c r="F129" s="70"/>
      <c r="G129" s="70"/>
      <c r="H129" s="70"/>
      <c r="I129" s="70"/>
      <c r="J129" s="70"/>
      <c r="K129" s="88"/>
      <c r="L129" s="70"/>
      <c r="M129" s="70"/>
      <c r="N129" s="70"/>
      <c r="O129" s="89"/>
      <c r="V129" s="79"/>
    </row>
    <row r="130" spans="1:22" ht="28.5" customHeight="1" x14ac:dyDescent="0.2">
      <c r="A130" s="276"/>
      <c r="B130" s="278" t="s">
        <v>295</v>
      </c>
      <c r="C130" s="277"/>
      <c r="D130" s="747" t="s">
        <v>166</v>
      </c>
      <c r="E130" s="748"/>
      <c r="F130" s="748"/>
      <c r="G130" s="748"/>
      <c r="H130" s="748"/>
      <c r="I130" s="279"/>
      <c r="J130" s="280" t="s">
        <v>18</v>
      </c>
      <c r="K130" s="88"/>
      <c r="L130" s="156">
        <f>SUM(L137:L146)</f>
        <v>0</v>
      </c>
      <c r="M130" s="246"/>
      <c r="N130" s="147">
        <f>IF(L130=0,0%,L130/L$8)</f>
        <v>0</v>
      </c>
      <c r="O130" s="495">
        <f>IF(LEN(R130)&gt;3,1,0)</f>
        <v>0</v>
      </c>
      <c r="R130" s="79" t="str">
        <f>IF(AND(R136="NOT",S136="NOT",T136="NOT"),"NOT",D130)</f>
        <v>NOT</v>
      </c>
    </row>
    <row r="131" spans="1:22" s="76" customFormat="1" ht="3" customHeight="1" x14ac:dyDescent="0.2">
      <c r="A131" s="87"/>
      <c r="B131" s="88"/>
      <c r="C131" s="88"/>
      <c r="D131" s="70"/>
      <c r="E131" s="70"/>
      <c r="F131" s="70"/>
      <c r="G131" s="70"/>
      <c r="H131" s="70"/>
      <c r="I131" s="70"/>
      <c r="J131" s="70"/>
      <c r="K131" s="88"/>
      <c r="L131" s="70"/>
      <c r="M131" s="70"/>
      <c r="N131" s="70"/>
      <c r="O131" s="89"/>
      <c r="V131" s="79"/>
    </row>
    <row r="132" spans="1:22" ht="27.75" customHeight="1" x14ac:dyDescent="0.2">
      <c r="B132" s="742" t="s">
        <v>198</v>
      </c>
      <c r="C132" s="743"/>
      <c r="D132" s="743"/>
      <c r="E132" s="743"/>
      <c r="F132" s="743"/>
      <c r="H132" s="81"/>
      <c r="J132" s="81"/>
      <c r="K132" s="88"/>
      <c r="L132" s="81"/>
      <c r="N132" s="227"/>
      <c r="R132" s="79" t="str">
        <f>IF(AND(($L130&gt;0),ISBLANK(B134)),B132,"NOT")</f>
        <v>NOT</v>
      </c>
    </row>
    <row r="133" spans="1:22" ht="3" customHeight="1" x14ac:dyDescent="0.2">
      <c r="B133" s="104"/>
      <c r="C133" s="88"/>
      <c r="D133" s="81"/>
      <c r="F133" s="81"/>
      <c r="H133" s="81"/>
      <c r="J133" s="81"/>
      <c r="K133" s="88"/>
      <c r="L133" s="81"/>
      <c r="N133" s="227"/>
    </row>
    <row r="134" spans="1:22" ht="81" customHeight="1" x14ac:dyDescent="0.2">
      <c r="B134" s="744"/>
      <c r="C134" s="745"/>
      <c r="D134" s="745"/>
      <c r="E134" s="745"/>
      <c r="F134" s="745"/>
      <c r="G134" s="745"/>
      <c r="H134" s="745"/>
      <c r="I134" s="745"/>
      <c r="J134" s="745"/>
      <c r="K134" s="745"/>
      <c r="L134" s="746"/>
      <c r="M134" s="70" t="s">
        <v>19</v>
      </c>
      <c r="N134" s="227"/>
    </row>
    <row r="135" spans="1:22" ht="3.75" customHeight="1" x14ac:dyDescent="0.2">
      <c r="B135" s="104"/>
      <c r="C135" s="88"/>
      <c r="D135" s="81"/>
      <c r="F135" s="81"/>
      <c r="H135" s="81"/>
      <c r="J135" s="81"/>
      <c r="K135" s="88"/>
      <c r="L135" s="81"/>
      <c r="N135" s="227"/>
    </row>
    <row r="136" spans="1:22" ht="38.25" x14ac:dyDescent="0.2">
      <c r="B136" s="244" t="s">
        <v>199</v>
      </c>
      <c r="C136" s="88"/>
      <c r="D136" s="244" t="s">
        <v>580</v>
      </c>
      <c r="F136" s="244" t="s">
        <v>205</v>
      </c>
      <c r="H136" s="244" t="s">
        <v>16</v>
      </c>
      <c r="J136" s="244" t="s">
        <v>15</v>
      </c>
      <c r="K136" s="245"/>
      <c r="L136" s="103" t="s">
        <v>141</v>
      </c>
      <c r="N136" s="81"/>
      <c r="R136" s="255" t="str">
        <f>IF(AND(R137="NOT",R138="NOT",R139="NOT",R140="NOT",R141="NOT",R142="NOT",R143="NOT",R144="NOT",R145="NOT",R146="NOT",R132="NOT"),"NOT",D130)</f>
        <v>NOT</v>
      </c>
      <c r="S136" s="255" t="str">
        <f>IF(AND(S137="NOT",S138="NOT",S139="NOT",S140="NOT",S141="NOT",S142="NOT",S143="NOT",S144="NOT",S145="NOT",S146="NOT",R132="NOT"),"NOT",D130)</f>
        <v>NOT</v>
      </c>
      <c r="T136" s="255" t="str">
        <f>IF(AND(T137="NOT",T138="NOT",T139="NOT",T140="NOT",T141="NOT",T142="NOT",T143="NOT",T144="NOT",T145="NOT",T146="NOT",R132="NOT"),"NOT",D130)</f>
        <v>NOT</v>
      </c>
    </row>
    <row r="137" spans="1:22" x14ac:dyDescent="0.2">
      <c r="B137" s="259"/>
      <c r="C137" s="88"/>
      <c r="D137" s="260"/>
      <c r="E137" s="243"/>
      <c r="F137" s="261"/>
      <c r="G137" s="243"/>
      <c r="H137" s="262"/>
      <c r="I137" s="243"/>
      <c r="J137" s="262"/>
      <c r="K137" s="88"/>
      <c r="L137" s="143">
        <f t="shared" ref="L137:L146" si="23">TRUNC(H137*J137,2)</f>
        <v>0</v>
      </c>
      <c r="N137" s="81"/>
      <c r="R137" s="79" t="str">
        <f t="shared" ref="R137:R146" si="24">IF(AND(($L137&gt;0),ISBLANK(B137)),B137,"NOT")</f>
        <v>NOT</v>
      </c>
      <c r="S137" s="79" t="str">
        <f t="shared" ref="S137:S146" si="25">IF(AND(($L137&gt;0),ISBLANK(D137)),D137,"NOT")</f>
        <v>NOT</v>
      </c>
      <c r="T137" s="79" t="str">
        <f t="shared" ref="T137:T146" si="26">IF(AND(($L137&gt;0),ISBLANK(F137)),F137,"NOT")</f>
        <v>NOT</v>
      </c>
      <c r="V137" s="79" t="str">
        <f t="shared" ref="V137:V160" si="27">LEFT(D137,3)</f>
        <v/>
      </c>
    </row>
    <row r="138" spans="1:22" x14ac:dyDescent="0.2">
      <c r="B138" s="259"/>
      <c r="C138" s="88"/>
      <c r="D138" s="260"/>
      <c r="E138" s="243"/>
      <c r="F138" s="261"/>
      <c r="G138" s="243"/>
      <c r="H138" s="262"/>
      <c r="I138" s="243"/>
      <c r="J138" s="262"/>
      <c r="K138" s="88"/>
      <c r="L138" s="143">
        <f t="shared" si="23"/>
        <v>0</v>
      </c>
      <c r="N138" s="81"/>
      <c r="R138" s="79" t="str">
        <f t="shared" si="24"/>
        <v>NOT</v>
      </c>
      <c r="S138" s="79" t="str">
        <f t="shared" si="25"/>
        <v>NOT</v>
      </c>
      <c r="T138" s="79" t="str">
        <f t="shared" si="26"/>
        <v>NOT</v>
      </c>
      <c r="V138" s="79" t="str">
        <f t="shared" si="27"/>
        <v/>
      </c>
    </row>
    <row r="139" spans="1:22" x14ac:dyDescent="0.2">
      <c r="B139" s="259"/>
      <c r="C139" s="88"/>
      <c r="D139" s="260"/>
      <c r="E139" s="243"/>
      <c r="F139" s="261"/>
      <c r="G139" s="243"/>
      <c r="H139" s="262"/>
      <c r="I139" s="243"/>
      <c r="J139" s="262"/>
      <c r="K139" s="88"/>
      <c r="L139" s="143">
        <f t="shared" si="23"/>
        <v>0</v>
      </c>
      <c r="N139" s="81"/>
      <c r="R139" s="79" t="str">
        <f t="shared" si="24"/>
        <v>NOT</v>
      </c>
      <c r="S139" s="79" t="str">
        <f t="shared" si="25"/>
        <v>NOT</v>
      </c>
      <c r="T139" s="79" t="str">
        <f t="shared" si="26"/>
        <v>NOT</v>
      </c>
      <c r="V139" s="79" t="str">
        <f t="shared" si="27"/>
        <v/>
      </c>
    </row>
    <row r="140" spans="1:22" x14ac:dyDescent="0.2">
      <c r="B140" s="259"/>
      <c r="C140" s="88"/>
      <c r="D140" s="260"/>
      <c r="E140" s="243"/>
      <c r="F140" s="261"/>
      <c r="G140" s="243"/>
      <c r="H140" s="262"/>
      <c r="I140" s="243"/>
      <c r="J140" s="262"/>
      <c r="K140" s="88"/>
      <c r="L140" s="143">
        <f t="shared" si="23"/>
        <v>0</v>
      </c>
      <c r="N140" s="81"/>
      <c r="R140" s="79" t="str">
        <f t="shared" si="24"/>
        <v>NOT</v>
      </c>
      <c r="S140" s="79" t="str">
        <f t="shared" si="25"/>
        <v>NOT</v>
      </c>
      <c r="T140" s="79" t="str">
        <f t="shared" si="26"/>
        <v>NOT</v>
      </c>
      <c r="V140" s="79" t="str">
        <f t="shared" si="27"/>
        <v/>
      </c>
    </row>
    <row r="141" spans="1:22" x14ac:dyDescent="0.2">
      <c r="B141" s="259"/>
      <c r="C141" s="88"/>
      <c r="D141" s="260"/>
      <c r="E141" s="243"/>
      <c r="F141" s="261"/>
      <c r="G141" s="243"/>
      <c r="H141" s="262"/>
      <c r="I141" s="243"/>
      <c r="J141" s="262"/>
      <c r="K141" s="88"/>
      <c r="L141" s="143">
        <f t="shared" si="23"/>
        <v>0</v>
      </c>
      <c r="N141" s="81"/>
      <c r="R141" s="79" t="str">
        <f t="shared" si="24"/>
        <v>NOT</v>
      </c>
      <c r="S141" s="79" t="str">
        <f t="shared" si="25"/>
        <v>NOT</v>
      </c>
      <c r="T141" s="79" t="str">
        <f t="shared" si="26"/>
        <v>NOT</v>
      </c>
      <c r="V141" s="79" t="str">
        <f t="shared" si="27"/>
        <v/>
      </c>
    </row>
    <row r="142" spans="1:22" x14ac:dyDescent="0.2">
      <c r="B142" s="259"/>
      <c r="C142" s="88"/>
      <c r="D142" s="260"/>
      <c r="E142" s="243"/>
      <c r="F142" s="261"/>
      <c r="G142" s="243"/>
      <c r="H142" s="262"/>
      <c r="I142" s="243"/>
      <c r="J142" s="262"/>
      <c r="K142" s="88"/>
      <c r="L142" s="143">
        <f t="shared" si="23"/>
        <v>0</v>
      </c>
      <c r="N142" s="81"/>
      <c r="R142" s="79" t="str">
        <f t="shared" si="24"/>
        <v>NOT</v>
      </c>
      <c r="S142" s="79" t="str">
        <f t="shared" si="25"/>
        <v>NOT</v>
      </c>
      <c r="T142" s="79" t="str">
        <f t="shared" si="26"/>
        <v>NOT</v>
      </c>
      <c r="V142" s="79" t="str">
        <f t="shared" si="27"/>
        <v/>
      </c>
    </row>
    <row r="143" spans="1:22" x14ac:dyDescent="0.2">
      <c r="B143" s="259"/>
      <c r="C143" s="88"/>
      <c r="D143" s="260"/>
      <c r="E143" s="243"/>
      <c r="F143" s="261"/>
      <c r="G143" s="243"/>
      <c r="H143" s="262"/>
      <c r="I143" s="243"/>
      <c r="J143" s="262"/>
      <c r="K143" s="88"/>
      <c r="L143" s="143">
        <f t="shared" si="23"/>
        <v>0</v>
      </c>
      <c r="N143" s="81"/>
      <c r="R143" s="79" t="str">
        <f t="shared" si="24"/>
        <v>NOT</v>
      </c>
      <c r="S143" s="79" t="str">
        <f t="shared" si="25"/>
        <v>NOT</v>
      </c>
      <c r="T143" s="79" t="str">
        <f t="shared" si="26"/>
        <v>NOT</v>
      </c>
      <c r="V143" s="79" t="str">
        <f t="shared" si="27"/>
        <v/>
      </c>
    </row>
    <row r="144" spans="1:22" x14ac:dyDescent="0.2">
      <c r="B144" s="259"/>
      <c r="C144" s="88"/>
      <c r="D144" s="260"/>
      <c r="E144" s="243"/>
      <c r="F144" s="261"/>
      <c r="G144" s="243"/>
      <c r="H144" s="262"/>
      <c r="I144" s="243"/>
      <c r="J144" s="262"/>
      <c r="K144" s="88"/>
      <c r="L144" s="143">
        <f t="shared" si="23"/>
        <v>0</v>
      </c>
      <c r="N144" s="81"/>
      <c r="R144" s="79" t="str">
        <f t="shared" si="24"/>
        <v>NOT</v>
      </c>
      <c r="S144" s="79" t="str">
        <f t="shared" si="25"/>
        <v>NOT</v>
      </c>
      <c r="T144" s="79" t="str">
        <f t="shared" si="26"/>
        <v>NOT</v>
      </c>
      <c r="V144" s="79" t="str">
        <f t="shared" si="27"/>
        <v/>
      </c>
    </row>
    <row r="145" spans="1:22" x14ac:dyDescent="0.2">
      <c r="B145" s="259"/>
      <c r="C145" s="88"/>
      <c r="D145" s="260"/>
      <c r="E145" s="243"/>
      <c r="F145" s="261"/>
      <c r="G145" s="243"/>
      <c r="H145" s="262"/>
      <c r="I145" s="243"/>
      <c r="J145" s="262"/>
      <c r="K145" s="88"/>
      <c r="L145" s="143">
        <f t="shared" si="23"/>
        <v>0</v>
      </c>
      <c r="N145" s="81"/>
      <c r="R145" s="79" t="str">
        <f t="shared" si="24"/>
        <v>NOT</v>
      </c>
      <c r="S145" s="79" t="str">
        <f t="shared" si="25"/>
        <v>NOT</v>
      </c>
      <c r="T145" s="79" t="str">
        <f t="shared" si="26"/>
        <v>NOT</v>
      </c>
      <c r="V145" s="79" t="str">
        <f t="shared" si="27"/>
        <v/>
      </c>
    </row>
    <row r="146" spans="1:22" x14ac:dyDescent="0.2">
      <c r="B146" s="259"/>
      <c r="C146" s="88"/>
      <c r="D146" s="260"/>
      <c r="E146" s="243"/>
      <c r="F146" s="261"/>
      <c r="G146" s="243"/>
      <c r="H146" s="262"/>
      <c r="I146" s="243"/>
      <c r="J146" s="262"/>
      <c r="K146" s="88"/>
      <c r="L146" s="143">
        <f t="shared" si="23"/>
        <v>0</v>
      </c>
      <c r="N146" s="81"/>
      <c r="R146" s="79" t="str">
        <f t="shared" si="24"/>
        <v>NOT</v>
      </c>
      <c r="S146" s="79" t="str">
        <f t="shared" si="25"/>
        <v>NOT</v>
      </c>
      <c r="T146" s="79" t="str">
        <f t="shared" si="26"/>
        <v>NOT</v>
      </c>
      <c r="V146" s="79" t="str">
        <f t="shared" si="27"/>
        <v/>
      </c>
    </row>
    <row r="147" spans="1:22" s="76" customFormat="1" x14ac:dyDescent="0.2">
      <c r="A147" s="87"/>
      <c r="B147" s="88"/>
      <c r="C147" s="88"/>
      <c r="D147" s="70"/>
      <c r="E147" s="70"/>
      <c r="F147" s="70"/>
      <c r="G147" s="70"/>
      <c r="H147" s="70"/>
      <c r="I147" s="70"/>
      <c r="J147" s="70"/>
      <c r="K147" s="88"/>
      <c r="L147" s="70"/>
      <c r="M147" s="70"/>
      <c r="N147" s="70"/>
      <c r="O147" s="89"/>
      <c r="V147" s="79"/>
    </row>
    <row r="148" spans="1:22" ht="28.5" customHeight="1" x14ac:dyDescent="0.2">
      <c r="A148" s="276"/>
      <c r="B148" s="278" t="s">
        <v>293</v>
      </c>
      <c r="C148" s="277"/>
      <c r="D148" s="747" t="s">
        <v>166</v>
      </c>
      <c r="E148" s="748"/>
      <c r="F148" s="748"/>
      <c r="G148" s="748"/>
      <c r="H148" s="748"/>
      <c r="I148" s="279"/>
      <c r="J148" s="280" t="s">
        <v>18</v>
      </c>
      <c r="K148" s="88"/>
      <c r="L148" s="156">
        <f>SUM(L155:L160)</f>
        <v>0</v>
      </c>
      <c r="M148" s="246"/>
      <c r="N148" s="147">
        <f>IF(L148=0,0%,L148/L$8)</f>
        <v>0</v>
      </c>
      <c r="O148" s="495">
        <f>IF(LEN(R148)&gt;3,1,0)</f>
        <v>0</v>
      </c>
      <c r="R148" s="79" t="str">
        <f>IF(AND(R154="NOT",S154="NOT",T154="NOT"),"NOT",D148)</f>
        <v>NOT</v>
      </c>
    </row>
    <row r="149" spans="1:22" s="76" customFormat="1" ht="3" customHeight="1" x14ac:dyDescent="0.2">
      <c r="A149" s="87"/>
      <c r="B149" s="788"/>
      <c r="C149" s="789"/>
      <c r="D149" s="789"/>
      <c r="E149" s="789"/>
      <c r="F149" s="789"/>
      <c r="G149" s="789"/>
      <c r="H149" s="789"/>
      <c r="I149" s="789"/>
      <c r="J149" s="789"/>
      <c r="K149" s="789"/>
      <c r="L149" s="789"/>
      <c r="M149" s="70"/>
      <c r="N149" s="70"/>
      <c r="O149" s="353"/>
      <c r="P149" s="270"/>
      <c r="Q149" s="231" t="str">
        <f>IF(N148&gt;O149,B149,"")</f>
        <v/>
      </c>
      <c r="V149" s="79"/>
    </row>
    <row r="150" spans="1:22" x14ac:dyDescent="0.2">
      <c r="B150" s="742" t="s">
        <v>197</v>
      </c>
      <c r="C150" s="743"/>
      <c r="D150" s="743"/>
      <c r="E150" s="743"/>
      <c r="F150" s="743"/>
      <c r="H150" s="81"/>
      <c r="J150" s="81"/>
      <c r="K150" s="88"/>
      <c r="L150" s="81"/>
      <c r="N150" s="227"/>
      <c r="R150" s="79" t="str">
        <f>IF(AND(($L148&gt;0),ISBLANK(B152)),B150,"NOT")</f>
        <v>NOT</v>
      </c>
    </row>
    <row r="151" spans="1:22" ht="3" customHeight="1" x14ac:dyDescent="0.2">
      <c r="B151" s="104"/>
      <c r="C151" s="88"/>
      <c r="D151" s="81"/>
      <c r="F151" s="81"/>
      <c r="H151" s="81"/>
      <c r="J151" s="81"/>
      <c r="K151" s="88"/>
      <c r="L151" s="81"/>
      <c r="N151" s="227"/>
    </row>
    <row r="152" spans="1:22" ht="60" customHeight="1" x14ac:dyDescent="0.2">
      <c r="B152" s="744"/>
      <c r="C152" s="745"/>
      <c r="D152" s="745"/>
      <c r="E152" s="745"/>
      <c r="F152" s="745"/>
      <c r="G152" s="745"/>
      <c r="H152" s="745"/>
      <c r="I152" s="745"/>
      <c r="J152" s="745"/>
      <c r="K152" s="745"/>
      <c r="L152" s="746"/>
      <c r="M152" s="70" t="s">
        <v>19</v>
      </c>
      <c r="N152" s="227"/>
    </row>
    <row r="153" spans="1:22" ht="3.75" customHeight="1" x14ac:dyDescent="0.2">
      <c r="B153" s="104"/>
      <c r="C153" s="88"/>
      <c r="D153" s="81"/>
      <c r="F153" s="81"/>
      <c r="H153" s="81"/>
      <c r="J153" s="81"/>
      <c r="K153" s="88"/>
      <c r="L153" s="81"/>
      <c r="N153" s="227"/>
    </row>
    <row r="154" spans="1:22" ht="25.5" x14ac:dyDescent="0.2">
      <c r="B154" s="244" t="s">
        <v>202</v>
      </c>
      <c r="C154" s="88"/>
      <c r="D154" s="244" t="s">
        <v>580</v>
      </c>
      <c r="F154" s="244" t="s">
        <v>205</v>
      </c>
      <c r="H154" s="244" t="s">
        <v>16</v>
      </c>
      <c r="J154" s="244" t="s">
        <v>15</v>
      </c>
      <c r="K154" s="245"/>
      <c r="L154" s="103" t="s">
        <v>141</v>
      </c>
      <c r="N154" s="81"/>
      <c r="R154" s="255" t="str">
        <f>IF(AND(R155="NOT",R156="NOT",R157="NOT",R158="NOT",R159="NOT",R160="NOT",R150="NOT"),"NOT",D148)</f>
        <v>NOT</v>
      </c>
      <c r="S154" s="255" t="str">
        <f>IF(AND(S155="NOT",S156="NOT",S157="NOT",S158="NOT",S159="NOT",S160="NOT",R150="NOT"),"NOT",D148)</f>
        <v>NOT</v>
      </c>
      <c r="T154" s="255" t="str">
        <f>IF(AND(T155="NOT",T156="NOT",T157="NOT",T158="NOT",T159="NOT",T160="NOT",R150="NOT"),"NOT",D148)</f>
        <v>NOT</v>
      </c>
    </row>
    <row r="155" spans="1:22" x14ac:dyDescent="0.2">
      <c r="B155" s="259"/>
      <c r="C155" s="88"/>
      <c r="D155" s="260"/>
      <c r="E155" s="243"/>
      <c r="F155" s="261"/>
      <c r="G155" s="243"/>
      <c r="H155" s="262"/>
      <c r="I155" s="243"/>
      <c r="J155" s="262"/>
      <c r="K155" s="88"/>
      <c r="L155" s="143">
        <f t="shared" ref="L155:L160" si="28">TRUNC(H155*J155,2)</f>
        <v>0</v>
      </c>
      <c r="N155" s="81"/>
      <c r="R155" s="79" t="str">
        <f t="shared" ref="R155:R160" si="29">IF(AND(($L155&gt;0),ISBLANK(B155)),B155,"NOT")</f>
        <v>NOT</v>
      </c>
      <c r="S155" s="79" t="str">
        <f t="shared" ref="S155:S160" si="30">IF(AND(($L155&gt;0),ISBLANK(D155)),D155,"NOT")</f>
        <v>NOT</v>
      </c>
      <c r="T155" s="79" t="str">
        <f t="shared" ref="T155:T160" si="31">IF(AND(($L155&gt;0),ISBLANK(F155)),F155,"NOT")</f>
        <v>NOT</v>
      </c>
      <c r="V155" s="79" t="str">
        <f t="shared" si="27"/>
        <v/>
      </c>
    </row>
    <row r="156" spans="1:22" x14ac:dyDescent="0.2">
      <c r="B156" s="259"/>
      <c r="C156" s="88"/>
      <c r="D156" s="260"/>
      <c r="E156" s="243"/>
      <c r="F156" s="261"/>
      <c r="G156" s="243"/>
      <c r="H156" s="262"/>
      <c r="I156" s="243"/>
      <c r="J156" s="262"/>
      <c r="K156" s="88"/>
      <c r="L156" s="143">
        <f t="shared" si="28"/>
        <v>0</v>
      </c>
      <c r="N156" s="81"/>
      <c r="R156" s="79" t="str">
        <f t="shared" si="29"/>
        <v>NOT</v>
      </c>
      <c r="S156" s="79" t="str">
        <f t="shared" si="30"/>
        <v>NOT</v>
      </c>
      <c r="T156" s="79" t="str">
        <f t="shared" si="31"/>
        <v>NOT</v>
      </c>
      <c r="V156" s="79" t="str">
        <f t="shared" si="27"/>
        <v/>
      </c>
    </row>
    <row r="157" spans="1:22" x14ac:dyDescent="0.2">
      <c r="B157" s="259"/>
      <c r="C157" s="88"/>
      <c r="D157" s="260"/>
      <c r="E157" s="243"/>
      <c r="F157" s="261"/>
      <c r="G157" s="243"/>
      <c r="H157" s="262"/>
      <c r="I157" s="243"/>
      <c r="J157" s="262"/>
      <c r="K157" s="88"/>
      <c r="L157" s="143">
        <f t="shared" si="28"/>
        <v>0</v>
      </c>
      <c r="N157" s="81"/>
      <c r="R157" s="79" t="str">
        <f t="shared" si="29"/>
        <v>NOT</v>
      </c>
      <c r="S157" s="79" t="str">
        <f t="shared" si="30"/>
        <v>NOT</v>
      </c>
      <c r="T157" s="79" t="str">
        <f t="shared" si="31"/>
        <v>NOT</v>
      </c>
      <c r="V157" s="79" t="str">
        <f t="shared" si="27"/>
        <v/>
      </c>
    </row>
    <row r="158" spans="1:22" x14ac:dyDescent="0.2">
      <c r="B158" s="259"/>
      <c r="C158" s="88"/>
      <c r="D158" s="260"/>
      <c r="E158" s="243"/>
      <c r="F158" s="261"/>
      <c r="G158" s="243"/>
      <c r="H158" s="262"/>
      <c r="I158" s="243"/>
      <c r="J158" s="262"/>
      <c r="K158" s="88"/>
      <c r="L158" s="143">
        <f t="shared" si="28"/>
        <v>0</v>
      </c>
      <c r="N158" s="81"/>
      <c r="R158" s="79" t="str">
        <f t="shared" si="29"/>
        <v>NOT</v>
      </c>
      <c r="S158" s="79" t="str">
        <f t="shared" si="30"/>
        <v>NOT</v>
      </c>
      <c r="T158" s="79" t="str">
        <f t="shared" si="31"/>
        <v>NOT</v>
      </c>
      <c r="V158" s="79" t="str">
        <f t="shared" si="27"/>
        <v/>
      </c>
    </row>
    <row r="159" spans="1:22" x14ac:dyDescent="0.2">
      <c r="B159" s="259"/>
      <c r="C159" s="88"/>
      <c r="D159" s="260"/>
      <c r="E159" s="243"/>
      <c r="F159" s="261"/>
      <c r="G159" s="243"/>
      <c r="H159" s="262"/>
      <c r="I159" s="243"/>
      <c r="J159" s="262"/>
      <c r="K159" s="88"/>
      <c r="L159" s="143">
        <f t="shared" si="28"/>
        <v>0</v>
      </c>
      <c r="N159" s="81"/>
      <c r="R159" s="79" t="str">
        <f t="shared" si="29"/>
        <v>NOT</v>
      </c>
      <c r="S159" s="79" t="str">
        <f t="shared" si="30"/>
        <v>NOT</v>
      </c>
      <c r="T159" s="79" t="str">
        <f t="shared" si="31"/>
        <v>NOT</v>
      </c>
      <c r="V159" s="79" t="str">
        <f t="shared" si="27"/>
        <v/>
      </c>
    </row>
    <row r="160" spans="1:22" x14ac:dyDescent="0.2">
      <c r="B160" s="259"/>
      <c r="C160" s="88"/>
      <c r="D160" s="260"/>
      <c r="E160" s="243"/>
      <c r="F160" s="261"/>
      <c r="G160" s="243"/>
      <c r="H160" s="262"/>
      <c r="I160" s="243"/>
      <c r="J160" s="262"/>
      <c r="K160" s="88"/>
      <c r="L160" s="143">
        <f t="shared" si="28"/>
        <v>0</v>
      </c>
      <c r="N160" s="81"/>
      <c r="R160" s="79" t="str">
        <f t="shared" si="29"/>
        <v>NOT</v>
      </c>
      <c r="S160" s="79" t="str">
        <f t="shared" si="30"/>
        <v>NOT</v>
      </c>
      <c r="T160" s="79" t="str">
        <f t="shared" si="31"/>
        <v>NOT</v>
      </c>
      <c r="V160" s="79" t="str">
        <f t="shared" si="27"/>
        <v/>
      </c>
    </row>
    <row r="161" spans="1:22" s="76" customFormat="1" ht="12.75" customHeight="1" x14ac:dyDescent="0.2">
      <c r="A161" s="87"/>
      <c r="B161" s="88"/>
      <c r="C161" s="88"/>
      <c r="D161" s="70"/>
      <c r="E161" s="70"/>
      <c r="F161" s="70"/>
      <c r="G161" s="70"/>
      <c r="H161" s="70"/>
      <c r="I161" s="70"/>
      <c r="J161" s="70"/>
      <c r="K161" s="88"/>
      <c r="L161" s="70"/>
      <c r="M161" s="70"/>
      <c r="N161" s="70"/>
      <c r="O161" s="89"/>
      <c r="V161" s="79"/>
    </row>
    <row r="162" spans="1:22" ht="28.5" customHeight="1" x14ac:dyDescent="0.2">
      <c r="A162" s="276"/>
      <c r="B162" s="278" t="s">
        <v>294</v>
      </c>
      <c r="C162" s="277"/>
      <c r="D162" s="747" t="s">
        <v>166</v>
      </c>
      <c r="E162" s="748"/>
      <c r="F162" s="748"/>
      <c r="G162" s="748"/>
      <c r="H162" s="748"/>
      <c r="I162" s="279"/>
      <c r="J162" s="280" t="s">
        <v>18</v>
      </c>
      <c r="K162" s="88"/>
      <c r="L162" s="156">
        <f>SUM(L169:L172)</f>
        <v>0</v>
      </c>
      <c r="M162" s="246"/>
      <c r="N162" s="147">
        <f>IF(L162=0,0%,L162/L$8)</f>
        <v>0</v>
      </c>
      <c r="O162" s="495">
        <f>IF(LEN(R162)&gt;3,1,0)</f>
        <v>0</v>
      </c>
      <c r="R162" s="79" t="str">
        <f>IF(AND(R168="NOT",S168="NOT",T168="NOT"),"NOT",D162)</f>
        <v>NOT</v>
      </c>
    </row>
    <row r="163" spans="1:22" s="76" customFormat="1" ht="3" customHeight="1" x14ac:dyDescent="0.2">
      <c r="A163" s="87"/>
      <c r="B163" s="88"/>
      <c r="C163" s="88"/>
      <c r="D163" s="70"/>
      <c r="E163" s="70"/>
      <c r="F163" s="70"/>
      <c r="G163" s="70"/>
      <c r="H163" s="70"/>
      <c r="I163" s="70"/>
      <c r="J163" s="70"/>
      <c r="K163" s="88"/>
      <c r="L163" s="70"/>
      <c r="M163" s="70"/>
      <c r="N163" s="70"/>
      <c r="O163" s="89"/>
      <c r="V163" s="79"/>
    </row>
    <row r="164" spans="1:22" x14ac:dyDescent="0.2">
      <c r="B164" s="742" t="s">
        <v>197</v>
      </c>
      <c r="C164" s="743"/>
      <c r="D164" s="743"/>
      <c r="E164" s="743"/>
      <c r="F164" s="743"/>
      <c r="H164" s="81"/>
      <c r="J164" s="81"/>
      <c r="K164" s="88"/>
      <c r="L164" s="81"/>
      <c r="N164" s="227"/>
      <c r="R164" s="79" t="str">
        <f>IF(AND(($L162&gt;0),ISBLANK(B166)),B164,"NOT")</f>
        <v>NOT</v>
      </c>
    </row>
    <row r="165" spans="1:22" ht="3" customHeight="1" x14ac:dyDescent="0.2">
      <c r="B165" s="104"/>
      <c r="C165" s="88"/>
      <c r="D165" s="81"/>
      <c r="F165" s="81"/>
      <c r="H165" s="81"/>
      <c r="J165" s="81"/>
      <c r="K165" s="88"/>
      <c r="L165" s="81"/>
      <c r="N165" s="227"/>
    </row>
    <row r="166" spans="1:22" ht="50.25" customHeight="1" x14ac:dyDescent="0.2">
      <c r="B166" s="744"/>
      <c r="C166" s="745"/>
      <c r="D166" s="745"/>
      <c r="E166" s="745"/>
      <c r="F166" s="745"/>
      <c r="G166" s="745"/>
      <c r="H166" s="745"/>
      <c r="I166" s="745"/>
      <c r="J166" s="745"/>
      <c r="K166" s="745"/>
      <c r="L166" s="746"/>
      <c r="M166" s="70" t="s">
        <v>19</v>
      </c>
      <c r="N166" s="227"/>
    </row>
    <row r="167" spans="1:22" ht="3.75" customHeight="1" x14ac:dyDescent="0.2">
      <c r="B167" s="104"/>
      <c r="C167" s="88"/>
      <c r="D167" s="81"/>
      <c r="F167" s="81"/>
      <c r="H167" s="81"/>
      <c r="J167" s="81"/>
      <c r="K167" s="88"/>
      <c r="L167" s="81"/>
      <c r="N167" s="227"/>
    </row>
    <row r="168" spans="1:22" ht="12.75" customHeight="1" x14ac:dyDescent="0.2">
      <c r="B168" s="244" t="s">
        <v>17</v>
      </c>
      <c r="C168" s="88"/>
      <c r="D168" s="244" t="s">
        <v>580</v>
      </c>
      <c r="F168" s="244" t="s">
        <v>205</v>
      </c>
      <c r="H168" s="244" t="s">
        <v>16</v>
      </c>
      <c r="J168" s="244" t="s">
        <v>15</v>
      </c>
      <c r="K168" s="245"/>
      <c r="L168" s="103" t="s">
        <v>141</v>
      </c>
      <c r="N168" s="81"/>
      <c r="R168" s="255" t="str">
        <f>IF(AND(R169="NOT",R170="NOT",R171="NOT",R172="NOT",R164="NOT"),"NOT",D162)</f>
        <v>NOT</v>
      </c>
      <c r="S168" s="255" t="str">
        <f>IF(AND(S169="NOT",S170="NOT",S171="NOT",S172="NOT",R164="NOT"),"NOT",D162)</f>
        <v>NOT</v>
      </c>
      <c r="T168" s="255" t="str">
        <f>IF(AND(T169="NOT",T170="NOT",T171="NOT",T172="NOT",R164="NOT"),"NOT",D162)</f>
        <v>NOT</v>
      </c>
    </row>
    <row r="169" spans="1:22" x14ac:dyDescent="0.2">
      <c r="B169" s="259"/>
      <c r="C169" s="88"/>
      <c r="D169" s="260"/>
      <c r="E169" s="243"/>
      <c r="F169" s="261"/>
      <c r="G169" s="243"/>
      <c r="H169" s="262"/>
      <c r="I169" s="243"/>
      <c r="J169" s="262"/>
      <c r="K169" s="88"/>
      <c r="L169" s="143">
        <f>TRUNC(H169*J169,2)</f>
        <v>0</v>
      </c>
      <c r="N169" s="81"/>
      <c r="R169" s="79" t="str">
        <f>IF(AND(($L169&gt;0),ISBLANK(B169)),B169,"NOT")</f>
        <v>NOT</v>
      </c>
      <c r="S169" s="79" t="str">
        <f>IF(AND(($L169&gt;0),ISBLANK(D169)),D169,"NOT")</f>
        <v>NOT</v>
      </c>
      <c r="T169" s="79" t="str">
        <f>IF(AND(($L169&gt;0),ISBLANK(F169)),F169,"NOT")</f>
        <v>NOT</v>
      </c>
      <c r="V169" s="79" t="str">
        <f>LEFT(D169,3)</f>
        <v/>
      </c>
    </row>
    <row r="170" spans="1:22" x14ac:dyDescent="0.2">
      <c r="B170" s="259"/>
      <c r="C170" s="88"/>
      <c r="D170" s="260"/>
      <c r="E170" s="243"/>
      <c r="F170" s="261"/>
      <c r="G170" s="243"/>
      <c r="H170" s="262"/>
      <c r="I170" s="243"/>
      <c r="J170" s="262"/>
      <c r="K170" s="88"/>
      <c r="L170" s="143">
        <f>TRUNC(H170*J170,2)</f>
        <v>0</v>
      </c>
      <c r="N170" s="81"/>
      <c r="R170" s="79" t="str">
        <f>IF(AND(($L170&gt;0),ISBLANK(B170)),B170,"NOT")</f>
        <v>NOT</v>
      </c>
      <c r="S170" s="79" t="str">
        <f>IF(AND(($L170&gt;0),ISBLANK(D170)),D170,"NOT")</f>
        <v>NOT</v>
      </c>
      <c r="T170" s="79" t="str">
        <f>IF(AND(($L170&gt;0),ISBLANK(F170)),F170,"NOT")</f>
        <v>NOT</v>
      </c>
      <c r="V170" s="79" t="str">
        <f>LEFT(D170,3)</f>
        <v/>
      </c>
    </row>
    <row r="171" spans="1:22" x14ac:dyDescent="0.2">
      <c r="B171" s="259"/>
      <c r="C171" s="88"/>
      <c r="D171" s="260"/>
      <c r="E171" s="243"/>
      <c r="F171" s="261"/>
      <c r="G171" s="243"/>
      <c r="H171" s="262"/>
      <c r="I171" s="243"/>
      <c r="J171" s="262"/>
      <c r="K171" s="88"/>
      <c r="L171" s="143">
        <f>TRUNC(H171*J171,2)</f>
        <v>0</v>
      </c>
      <c r="N171" s="81"/>
      <c r="R171" s="79" t="str">
        <f>IF(AND(($L171&gt;0),ISBLANK(B171)),B171,"NOT")</f>
        <v>NOT</v>
      </c>
      <c r="S171" s="79" t="str">
        <f>IF(AND(($L171&gt;0),ISBLANK(D171)),D171,"NOT")</f>
        <v>NOT</v>
      </c>
      <c r="T171" s="79" t="str">
        <f>IF(AND(($L171&gt;0),ISBLANK(F171)),F171,"NOT")</f>
        <v>NOT</v>
      </c>
      <c r="V171" s="79" t="str">
        <f>LEFT(D171,3)</f>
        <v/>
      </c>
    </row>
    <row r="172" spans="1:22" x14ac:dyDescent="0.2">
      <c r="B172" s="259"/>
      <c r="C172" s="88"/>
      <c r="D172" s="260"/>
      <c r="E172" s="243"/>
      <c r="F172" s="261"/>
      <c r="G172" s="243"/>
      <c r="H172" s="262"/>
      <c r="I172" s="243"/>
      <c r="J172" s="262"/>
      <c r="K172" s="88"/>
      <c r="L172" s="143">
        <f>TRUNC(H172*J172,2)</f>
        <v>0</v>
      </c>
      <c r="N172" s="81"/>
      <c r="R172" s="79" t="str">
        <f>IF(AND(($L172&gt;0),ISBLANK(B172)),B172,"NOT")</f>
        <v>NOT</v>
      </c>
      <c r="S172" s="79" t="str">
        <f>IF(AND(($L172&gt;0),ISBLANK(D172)),D172,"NOT")</f>
        <v>NOT</v>
      </c>
      <c r="T172" s="79" t="str">
        <f>IF(AND(($L172&gt;0),ISBLANK(F172)),F172,"NOT")</f>
        <v>NOT</v>
      </c>
      <c r="V172" s="79" t="str">
        <f>LEFT(D172,3)</f>
        <v/>
      </c>
    </row>
    <row r="173" spans="1:22" s="76" customFormat="1" ht="12.75" customHeight="1" x14ac:dyDescent="0.2">
      <c r="A173" s="87"/>
      <c r="B173" s="88"/>
      <c r="C173" s="88"/>
      <c r="D173" s="70"/>
      <c r="E173" s="70"/>
      <c r="F173" s="70"/>
      <c r="G173" s="70"/>
      <c r="H173" s="70"/>
      <c r="I173" s="70"/>
      <c r="J173" s="70"/>
      <c r="K173" s="88"/>
      <c r="L173" s="70"/>
      <c r="M173" s="70"/>
      <c r="N173" s="70"/>
      <c r="O173" s="89"/>
      <c r="V173" s="79"/>
    </row>
    <row r="174" spans="1:22" ht="25.5" x14ac:dyDescent="0.2">
      <c r="A174" s="276"/>
      <c r="B174" s="278" t="s">
        <v>296</v>
      </c>
      <c r="C174" s="277"/>
      <c r="D174" s="747" t="s">
        <v>166</v>
      </c>
      <c r="E174" s="748"/>
      <c r="F174" s="748"/>
      <c r="G174" s="748"/>
      <c r="H174" s="748"/>
      <c r="I174" s="279"/>
      <c r="J174" s="280" t="s">
        <v>18</v>
      </c>
      <c r="K174" s="88"/>
      <c r="L174" s="156">
        <f>SUM(L181:L190)</f>
        <v>0</v>
      </c>
      <c r="M174" s="246"/>
      <c r="N174" s="147">
        <f>IF(L174=0,0%,L174/L$8)</f>
        <v>0</v>
      </c>
      <c r="O174" s="495">
        <f>IF(LEN(R174)&gt;3,1,0)</f>
        <v>0</v>
      </c>
      <c r="R174" s="79" t="str">
        <f>IF(AND(R180="NOT",S180="NOT",T180="NOT"),"NOT",D174)</f>
        <v>NOT</v>
      </c>
    </row>
    <row r="175" spans="1:22" s="76" customFormat="1" ht="3" customHeight="1" x14ac:dyDescent="0.2">
      <c r="A175" s="87"/>
      <c r="B175" s="88"/>
      <c r="C175" s="88"/>
      <c r="D175" s="70"/>
      <c r="E175" s="70"/>
      <c r="F175" s="70"/>
      <c r="G175" s="70"/>
      <c r="H175" s="70"/>
      <c r="I175" s="70"/>
      <c r="J175" s="70"/>
      <c r="K175" s="88"/>
      <c r="L175" s="70"/>
      <c r="M175" s="70"/>
      <c r="N175" s="70"/>
      <c r="O175" s="89"/>
      <c r="V175" s="79"/>
    </row>
    <row r="176" spans="1:22" ht="27.75" customHeight="1" x14ac:dyDescent="0.2">
      <c r="B176" s="749" t="s">
        <v>38</v>
      </c>
      <c r="C176" s="750"/>
      <c r="D176" s="750"/>
      <c r="E176" s="750"/>
      <c r="F176" s="750"/>
      <c r="H176" s="81"/>
      <c r="J176" s="81"/>
      <c r="K176" s="88"/>
      <c r="L176" s="81"/>
      <c r="N176" s="227"/>
      <c r="R176" s="79" t="str">
        <f>IF(AND(($L174&gt;0),ISBLANK(B178)),B176,"NOT")</f>
        <v>NOT</v>
      </c>
    </row>
    <row r="177" spans="1:22" ht="3" customHeight="1" x14ac:dyDescent="0.2">
      <c r="B177" s="104"/>
      <c r="C177" s="88"/>
      <c r="D177" s="81"/>
      <c r="F177" s="81"/>
      <c r="H177" s="81"/>
      <c r="J177" s="81"/>
      <c r="K177" s="88"/>
      <c r="L177" s="81"/>
      <c r="N177" s="227"/>
    </row>
    <row r="178" spans="1:22" ht="81" customHeight="1" x14ac:dyDescent="0.2">
      <c r="B178" s="744"/>
      <c r="C178" s="745"/>
      <c r="D178" s="745"/>
      <c r="E178" s="745"/>
      <c r="F178" s="745"/>
      <c r="G178" s="745"/>
      <c r="H178" s="745"/>
      <c r="I178" s="745"/>
      <c r="J178" s="745"/>
      <c r="K178" s="745"/>
      <c r="L178" s="746"/>
      <c r="M178" s="70" t="s">
        <v>19</v>
      </c>
      <c r="N178" s="227"/>
    </row>
    <row r="179" spans="1:22" ht="3.75" customHeight="1" x14ac:dyDescent="0.2">
      <c r="B179" s="104"/>
      <c r="C179" s="88"/>
      <c r="D179" s="81"/>
      <c r="F179" s="81"/>
      <c r="H179" s="81"/>
      <c r="J179" s="81"/>
      <c r="K179" s="88"/>
      <c r="L179" s="81"/>
      <c r="N179" s="227"/>
    </row>
    <row r="180" spans="1:22" ht="38.25" x14ac:dyDescent="0.2">
      <c r="B180" s="244" t="s">
        <v>23</v>
      </c>
      <c r="C180" s="88"/>
      <c r="D180" s="244" t="s">
        <v>580</v>
      </c>
      <c r="F180" s="244" t="s">
        <v>205</v>
      </c>
      <c r="H180" s="244" t="s">
        <v>16</v>
      </c>
      <c r="J180" s="244" t="s">
        <v>15</v>
      </c>
      <c r="K180" s="245"/>
      <c r="L180" s="103" t="s">
        <v>141</v>
      </c>
      <c r="N180" s="81"/>
      <c r="R180" s="255" t="str">
        <f>IF(AND(R181="NOT",R182="NOT",R183="NOT",R184="NOT",R185="NOT",R186="NOT",R187="NOT",R188="NOT",R189="NOT",R190="NOT",R176="NOT"),"NOT",D174)</f>
        <v>NOT</v>
      </c>
      <c r="S180" s="255" t="str">
        <f>IF(AND(S181="NOT",S182="NOT",S183="NOT",S184="NOT",S185="NOT",S186="NOT",S187="NOT",S188="NOT",S189="NOT",S190="NOT",R176="NOT"),"NOT",D174)</f>
        <v>NOT</v>
      </c>
      <c r="T180" s="255" t="str">
        <f>IF(AND(T181="NOT",T182="NOT",T183="NOT",T184="NOT",T185="NOT",T186="NOT",T187="NOT",T188="NOT",T189="NOT",T190="NOT",R176="NOT"),"NOT",D174)</f>
        <v>NOT</v>
      </c>
    </row>
    <row r="181" spans="1:22" x14ac:dyDescent="0.2">
      <c r="B181" s="259"/>
      <c r="C181" s="88"/>
      <c r="D181" s="260"/>
      <c r="E181" s="243"/>
      <c r="F181" s="261"/>
      <c r="G181" s="243"/>
      <c r="H181" s="262"/>
      <c r="I181" s="243"/>
      <c r="J181" s="262"/>
      <c r="K181" s="88"/>
      <c r="L181" s="143">
        <f t="shared" ref="L181:L190" si="32">TRUNC(H181*J181,2)</f>
        <v>0</v>
      </c>
      <c r="N181" s="81"/>
      <c r="R181" s="79" t="str">
        <f t="shared" ref="R181:R190" si="33">IF(AND(($L181&gt;0),ISBLANK(B181)),B181,"NOT")</f>
        <v>NOT</v>
      </c>
      <c r="S181" s="79" t="str">
        <f t="shared" ref="S181:S190" si="34">IF(AND(($L181&gt;0),ISBLANK(D181)),D181,"NOT")</f>
        <v>NOT</v>
      </c>
      <c r="T181" s="79" t="str">
        <f t="shared" ref="T181:T190" si="35">IF(AND(($L181&gt;0),ISBLANK(F181)),F181,"NOT")</f>
        <v>NOT</v>
      </c>
      <c r="V181" s="79" t="str">
        <f t="shared" ref="V181:V190" si="36">LEFT(D181,3)</f>
        <v/>
      </c>
    </row>
    <row r="182" spans="1:22" x14ac:dyDescent="0.2">
      <c r="B182" s="259"/>
      <c r="C182" s="88"/>
      <c r="D182" s="260"/>
      <c r="E182" s="243"/>
      <c r="F182" s="261"/>
      <c r="G182" s="243"/>
      <c r="H182" s="262"/>
      <c r="I182" s="243"/>
      <c r="J182" s="262"/>
      <c r="K182" s="88"/>
      <c r="L182" s="143">
        <f t="shared" si="32"/>
        <v>0</v>
      </c>
      <c r="N182" s="81"/>
      <c r="R182" s="79" t="str">
        <f t="shared" si="33"/>
        <v>NOT</v>
      </c>
      <c r="S182" s="79" t="str">
        <f t="shared" si="34"/>
        <v>NOT</v>
      </c>
      <c r="T182" s="79" t="str">
        <f t="shared" si="35"/>
        <v>NOT</v>
      </c>
      <c r="V182" s="79" t="str">
        <f t="shared" si="36"/>
        <v/>
      </c>
    </row>
    <row r="183" spans="1:22" x14ac:dyDescent="0.2">
      <c r="B183" s="259"/>
      <c r="C183" s="88"/>
      <c r="D183" s="260"/>
      <c r="E183" s="243"/>
      <c r="F183" s="261"/>
      <c r="G183" s="243"/>
      <c r="H183" s="262"/>
      <c r="I183" s="243"/>
      <c r="J183" s="262"/>
      <c r="K183" s="88"/>
      <c r="L183" s="143">
        <f t="shared" si="32"/>
        <v>0</v>
      </c>
      <c r="N183" s="81"/>
      <c r="R183" s="79" t="str">
        <f t="shared" si="33"/>
        <v>NOT</v>
      </c>
      <c r="S183" s="79" t="str">
        <f t="shared" si="34"/>
        <v>NOT</v>
      </c>
      <c r="T183" s="79" t="str">
        <f t="shared" si="35"/>
        <v>NOT</v>
      </c>
      <c r="V183" s="79" t="str">
        <f t="shared" si="36"/>
        <v/>
      </c>
    </row>
    <row r="184" spans="1:22" x14ac:dyDescent="0.2">
      <c r="B184" s="259"/>
      <c r="C184" s="88"/>
      <c r="D184" s="260"/>
      <c r="E184" s="243"/>
      <c r="F184" s="261"/>
      <c r="G184" s="243"/>
      <c r="H184" s="262"/>
      <c r="I184" s="243"/>
      <c r="J184" s="262"/>
      <c r="K184" s="88"/>
      <c r="L184" s="143">
        <f t="shared" si="32"/>
        <v>0</v>
      </c>
      <c r="N184" s="81"/>
      <c r="R184" s="79" t="str">
        <f t="shared" si="33"/>
        <v>NOT</v>
      </c>
      <c r="S184" s="79" t="str">
        <f t="shared" si="34"/>
        <v>NOT</v>
      </c>
      <c r="T184" s="79" t="str">
        <f t="shared" si="35"/>
        <v>NOT</v>
      </c>
      <c r="V184" s="79" t="str">
        <f t="shared" si="36"/>
        <v/>
      </c>
    </row>
    <row r="185" spans="1:22" x14ac:dyDescent="0.2">
      <c r="B185" s="259"/>
      <c r="C185" s="88"/>
      <c r="D185" s="260"/>
      <c r="E185" s="243"/>
      <c r="F185" s="261"/>
      <c r="G185" s="243"/>
      <c r="H185" s="262"/>
      <c r="I185" s="243"/>
      <c r="J185" s="262"/>
      <c r="K185" s="88"/>
      <c r="L185" s="143">
        <f t="shared" si="32"/>
        <v>0</v>
      </c>
      <c r="N185" s="81"/>
      <c r="R185" s="79" t="str">
        <f t="shared" si="33"/>
        <v>NOT</v>
      </c>
      <c r="S185" s="79" t="str">
        <f t="shared" si="34"/>
        <v>NOT</v>
      </c>
      <c r="T185" s="79" t="str">
        <f t="shared" si="35"/>
        <v>NOT</v>
      </c>
      <c r="V185" s="79" t="str">
        <f t="shared" si="36"/>
        <v/>
      </c>
    </row>
    <row r="186" spans="1:22" x14ac:dyDescent="0.2">
      <c r="B186" s="259"/>
      <c r="C186" s="88"/>
      <c r="D186" s="260"/>
      <c r="E186" s="243"/>
      <c r="F186" s="261"/>
      <c r="G186" s="243"/>
      <c r="H186" s="262"/>
      <c r="I186" s="243"/>
      <c r="J186" s="262"/>
      <c r="K186" s="88"/>
      <c r="L186" s="143">
        <f t="shared" si="32"/>
        <v>0</v>
      </c>
      <c r="N186" s="81"/>
      <c r="R186" s="79" t="str">
        <f t="shared" si="33"/>
        <v>NOT</v>
      </c>
      <c r="S186" s="79" t="str">
        <f t="shared" si="34"/>
        <v>NOT</v>
      </c>
      <c r="T186" s="79" t="str">
        <f t="shared" si="35"/>
        <v>NOT</v>
      </c>
      <c r="V186" s="79" t="str">
        <f t="shared" si="36"/>
        <v/>
      </c>
    </row>
    <row r="187" spans="1:22" x14ac:dyDescent="0.2">
      <c r="B187" s="259"/>
      <c r="C187" s="88"/>
      <c r="D187" s="260"/>
      <c r="E187" s="243"/>
      <c r="F187" s="261"/>
      <c r="G187" s="243"/>
      <c r="H187" s="262"/>
      <c r="I187" s="243"/>
      <c r="J187" s="262"/>
      <c r="K187" s="88"/>
      <c r="L187" s="143">
        <f t="shared" si="32"/>
        <v>0</v>
      </c>
      <c r="N187" s="81"/>
      <c r="R187" s="79" t="str">
        <f t="shared" si="33"/>
        <v>NOT</v>
      </c>
      <c r="S187" s="79" t="str">
        <f t="shared" si="34"/>
        <v>NOT</v>
      </c>
      <c r="T187" s="79" t="str">
        <f t="shared" si="35"/>
        <v>NOT</v>
      </c>
      <c r="V187" s="79" t="str">
        <f t="shared" si="36"/>
        <v/>
      </c>
    </row>
    <row r="188" spans="1:22" x14ac:dyDescent="0.2">
      <c r="B188" s="259"/>
      <c r="C188" s="88"/>
      <c r="D188" s="260"/>
      <c r="E188" s="243"/>
      <c r="F188" s="261"/>
      <c r="G188" s="243"/>
      <c r="H188" s="262"/>
      <c r="I188" s="243"/>
      <c r="J188" s="262"/>
      <c r="K188" s="88"/>
      <c r="L188" s="143">
        <f t="shared" si="32"/>
        <v>0</v>
      </c>
      <c r="N188" s="81"/>
      <c r="R188" s="79" t="str">
        <f t="shared" si="33"/>
        <v>NOT</v>
      </c>
      <c r="S188" s="79" t="str">
        <f t="shared" si="34"/>
        <v>NOT</v>
      </c>
      <c r="T188" s="79" t="str">
        <f t="shared" si="35"/>
        <v>NOT</v>
      </c>
      <c r="V188" s="79" t="str">
        <f t="shared" si="36"/>
        <v/>
      </c>
    </row>
    <row r="189" spans="1:22" x14ac:dyDescent="0.2">
      <c r="B189" s="259"/>
      <c r="C189" s="88"/>
      <c r="D189" s="260"/>
      <c r="E189" s="243"/>
      <c r="F189" s="261"/>
      <c r="G189" s="243"/>
      <c r="H189" s="262"/>
      <c r="I189" s="243"/>
      <c r="J189" s="262"/>
      <c r="K189" s="88"/>
      <c r="L189" s="143">
        <f t="shared" si="32"/>
        <v>0</v>
      </c>
      <c r="N189" s="81"/>
      <c r="R189" s="79" t="str">
        <f t="shared" si="33"/>
        <v>NOT</v>
      </c>
      <c r="S189" s="79" t="str">
        <f t="shared" si="34"/>
        <v>NOT</v>
      </c>
      <c r="T189" s="79" t="str">
        <f t="shared" si="35"/>
        <v>NOT</v>
      </c>
      <c r="V189" s="79" t="str">
        <f t="shared" si="36"/>
        <v/>
      </c>
    </row>
    <row r="190" spans="1:22" x14ac:dyDescent="0.2">
      <c r="B190" s="259"/>
      <c r="C190" s="88"/>
      <c r="D190" s="260"/>
      <c r="E190" s="243"/>
      <c r="F190" s="261"/>
      <c r="G190" s="243"/>
      <c r="H190" s="262"/>
      <c r="I190" s="243"/>
      <c r="J190" s="262"/>
      <c r="K190" s="88"/>
      <c r="L190" s="143">
        <f t="shared" si="32"/>
        <v>0</v>
      </c>
      <c r="N190" s="81"/>
      <c r="R190" s="79" t="str">
        <f t="shared" si="33"/>
        <v>NOT</v>
      </c>
      <c r="S190" s="79" t="str">
        <f t="shared" si="34"/>
        <v>NOT</v>
      </c>
      <c r="T190" s="79" t="str">
        <f t="shared" si="35"/>
        <v>NOT</v>
      </c>
      <c r="V190" s="79" t="str">
        <f t="shared" si="36"/>
        <v/>
      </c>
    </row>
    <row r="191" spans="1:22" x14ac:dyDescent="0.2">
      <c r="B191" s="104"/>
      <c r="C191" s="88"/>
      <c r="D191" s="81"/>
      <c r="F191" s="81"/>
      <c r="H191" s="81"/>
      <c r="J191" s="81"/>
      <c r="K191" s="88"/>
      <c r="L191" s="81"/>
      <c r="N191" s="227"/>
    </row>
    <row r="192" spans="1:22" ht="13.5" customHeight="1" x14ac:dyDescent="0.2">
      <c r="A192" s="276"/>
      <c r="B192" s="278" t="s">
        <v>297</v>
      </c>
      <c r="C192" s="277"/>
      <c r="D192" s="747" t="s">
        <v>166</v>
      </c>
      <c r="E192" s="748"/>
      <c r="F192" s="748"/>
      <c r="G192" s="748"/>
      <c r="H192" s="748"/>
      <c r="I192" s="279"/>
      <c r="J192" s="280" t="s">
        <v>18</v>
      </c>
      <c r="K192" s="88"/>
      <c r="L192" s="156">
        <f>SUM(L199:L203)</f>
        <v>0</v>
      </c>
      <c r="M192" s="246"/>
      <c r="N192" s="147">
        <f>IF(L192=0,0%,L192/L$8)</f>
        <v>0</v>
      </c>
      <c r="O192" s="495">
        <f>IF(LEN(R192)&gt;3,1,0)</f>
        <v>0</v>
      </c>
      <c r="R192" s="79" t="str">
        <f>IF(AND(R198="NOT",S198="NOT",T198="NOT"),"NOT",D192)</f>
        <v>NOT</v>
      </c>
    </row>
    <row r="193" spans="1:22" s="76" customFormat="1" ht="3" customHeight="1" x14ac:dyDescent="0.2">
      <c r="A193" s="87"/>
      <c r="B193" s="88"/>
      <c r="C193" s="88"/>
      <c r="D193" s="70"/>
      <c r="E193" s="70"/>
      <c r="F193" s="70"/>
      <c r="G193" s="70"/>
      <c r="H193" s="70"/>
      <c r="I193" s="70"/>
      <c r="J193" s="70"/>
      <c r="K193" s="88"/>
      <c r="L193" s="70"/>
      <c r="M193" s="70"/>
      <c r="N193" s="70"/>
      <c r="O193" s="89"/>
      <c r="V193" s="79"/>
    </row>
    <row r="194" spans="1:22" ht="25.5" customHeight="1" x14ac:dyDescent="0.2">
      <c r="B194" s="749" t="s">
        <v>646</v>
      </c>
      <c r="C194" s="750"/>
      <c r="D194" s="750"/>
      <c r="E194" s="750"/>
      <c r="F194" s="750"/>
      <c r="H194" s="81"/>
      <c r="J194" s="81"/>
      <c r="K194" s="88"/>
      <c r="L194" s="81"/>
      <c r="N194" s="227"/>
      <c r="R194" s="79" t="str">
        <f>IF(AND(($L192&gt;0),ISBLANK(B196)),B194,"NOT")</f>
        <v>NOT</v>
      </c>
    </row>
    <row r="195" spans="1:22" ht="3" customHeight="1" x14ac:dyDescent="0.2">
      <c r="B195" s="104"/>
      <c r="C195" s="88"/>
      <c r="D195" s="81"/>
      <c r="F195" s="81"/>
      <c r="H195" s="81"/>
      <c r="J195" s="81"/>
      <c r="K195" s="88"/>
      <c r="L195" s="81"/>
      <c r="N195" s="227"/>
    </row>
    <row r="196" spans="1:22" ht="60.75" customHeight="1" x14ac:dyDescent="0.2">
      <c r="B196" s="744"/>
      <c r="C196" s="745"/>
      <c r="D196" s="745"/>
      <c r="E196" s="745"/>
      <c r="F196" s="745"/>
      <c r="G196" s="745"/>
      <c r="H196" s="745"/>
      <c r="I196" s="745"/>
      <c r="J196" s="745"/>
      <c r="K196" s="745"/>
      <c r="L196" s="746"/>
      <c r="M196" s="70" t="s">
        <v>19</v>
      </c>
      <c r="N196" s="227"/>
    </row>
    <row r="197" spans="1:22" ht="3.75" customHeight="1" x14ac:dyDescent="0.2">
      <c r="B197" s="104"/>
      <c r="C197" s="88"/>
      <c r="D197" s="81"/>
      <c r="F197" s="81"/>
      <c r="H197" s="81"/>
      <c r="J197" s="81"/>
      <c r="K197" s="88"/>
      <c r="L197" s="81"/>
      <c r="N197" s="227"/>
    </row>
    <row r="198" spans="1:22" ht="12.75" customHeight="1" x14ac:dyDescent="0.2">
      <c r="B198" s="244" t="s">
        <v>17</v>
      </c>
      <c r="C198" s="88"/>
      <c r="D198" s="244" t="s">
        <v>580</v>
      </c>
      <c r="F198" s="244" t="s">
        <v>205</v>
      </c>
      <c r="H198" s="244" t="s">
        <v>16</v>
      </c>
      <c r="J198" s="244" t="s">
        <v>15</v>
      </c>
      <c r="K198" s="245"/>
      <c r="L198" s="103" t="s">
        <v>141</v>
      </c>
      <c r="N198" s="81"/>
      <c r="R198" s="255" t="str">
        <f>IF(AND(R199="NOT",R200="NOT",R201="NOT",R202="NOT",R203="NOT",R194="NOT"),"NOT",D192)</f>
        <v>NOT</v>
      </c>
      <c r="S198" s="255" t="str">
        <f>IF(AND(S199="NOT",S200="NOT",S201="NOT",S202="NOT",S203="NOT",R194="NOT"),"NOT",D192)</f>
        <v>NOT</v>
      </c>
      <c r="T198" s="255" t="str">
        <f>IF(AND(T199="NOT",T200="NOT",T201="NOT",T202="NOT",T203="NOT",R194="NOT"),"NOT",D192)</f>
        <v>NOT</v>
      </c>
    </row>
    <row r="199" spans="1:22" x14ac:dyDescent="0.2">
      <c r="B199" s="259"/>
      <c r="C199" s="88"/>
      <c r="D199" s="260"/>
      <c r="E199" s="243"/>
      <c r="F199" s="261"/>
      <c r="G199" s="243"/>
      <c r="H199" s="262"/>
      <c r="I199" s="243"/>
      <c r="J199" s="262"/>
      <c r="K199" s="88"/>
      <c r="L199" s="143">
        <f>TRUNC(H199*J199,2)</f>
        <v>0</v>
      </c>
      <c r="N199" s="81"/>
      <c r="R199" s="79" t="str">
        <f>IF(AND(($L199&gt;0),ISBLANK(B199)),B199,"NOT")</f>
        <v>NOT</v>
      </c>
      <c r="S199" s="79" t="str">
        <f>IF(AND(($L199&gt;0),ISBLANK(D199)),D199,"NOT")</f>
        <v>NOT</v>
      </c>
      <c r="T199" s="79" t="str">
        <f>IF(AND(($L199&gt;0),ISBLANK(F199)),F199,"NOT")</f>
        <v>NOT</v>
      </c>
      <c r="V199" s="79" t="str">
        <f>LEFT(D199,3)</f>
        <v/>
      </c>
    </row>
    <row r="200" spans="1:22" x14ac:dyDescent="0.2">
      <c r="B200" s="259"/>
      <c r="C200" s="88"/>
      <c r="D200" s="260"/>
      <c r="E200" s="243"/>
      <c r="F200" s="261"/>
      <c r="G200" s="243"/>
      <c r="H200" s="262"/>
      <c r="I200" s="243"/>
      <c r="J200" s="262"/>
      <c r="K200" s="88"/>
      <c r="L200" s="143">
        <f>TRUNC(H200*J200,2)</f>
        <v>0</v>
      </c>
      <c r="N200" s="81"/>
      <c r="R200" s="79" t="str">
        <f>IF(AND(($L200&gt;0),ISBLANK(B200)),B200,"NOT")</f>
        <v>NOT</v>
      </c>
      <c r="S200" s="79" t="str">
        <f>IF(AND(($L200&gt;0),ISBLANK(D200)),D200,"NOT")</f>
        <v>NOT</v>
      </c>
      <c r="T200" s="79" t="str">
        <f>IF(AND(($L200&gt;0),ISBLANK(F200)),F200,"NOT")</f>
        <v>NOT</v>
      </c>
      <c r="V200" s="79" t="str">
        <f t="shared" ref="V200:V203" si="37">LEFT(D200,3)</f>
        <v/>
      </c>
    </row>
    <row r="201" spans="1:22" x14ac:dyDescent="0.2">
      <c r="B201" s="259"/>
      <c r="C201" s="88"/>
      <c r="D201" s="260"/>
      <c r="E201" s="243"/>
      <c r="F201" s="261"/>
      <c r="G201" s="243"/>
      <c r="H201" s="262"/>
      <c r="I201" s="243"/>
      <c r="J201" s="262"/>
      <c r="K201" s="88"/>
      <c r="L201" s="143">
        <f>TRUNC(H201*J201,2)</f>
        <v>0</v>
      </c>
      <c r="N201" s="81"/>
      <c r="R201" s="79" t="str">
        <f>IF(AND(($L201&gt;0),ISBLANK(B201)),B201,"NOT")</f>
        <v>NOT</v>
      </c>
      <c r="S201" s="79" t="str">
        <f>IF(AND(($L201&gt;0),ISBLANK(D201)),D201,"NOT")</f>
        <v>NOT</v>
      </c>
      <c r="T201" s="79" t="str">
        <f>IF(AND(($L201&gt;0),ISBLANK(F201)),F201,"NOT")</f>
        <v>NOT</v>
      </c>
      <c r="V201" s="79" t="str">
        <f t="shared" si="37"/>
        <v/>
      </c>
    </row>
    <row r="202" spans="1:22" x14ac:dyDescent="0.2">
      <c r="B202" s="259"/>
      <c r="C202" s="88"/>
      <c r="D202" s="260"/>
      <c r="E202" s="243"/>
      <c r="F202" s="261"/>
      <c r="G202" s="243"/>
      <c r="H202" s="262"/>
      <c r="I202" s="243"/>
      <c r="J202" s="262"/>
      <c r="K202" s="88"/>
      <c r="L202" s="143">
        <f>TRUNC(H202*J202,2)</f>
        <v>0</v>
      </c>
      <c r="N202" s="81"/>
      <c r="R202" s="79" t="str">
        <f>IF(AND(($L202&gt;0),ISBLANK(B202)),B202,"NOT")</f>
        <v>NOT</v>
      </c>
      <c r="S202" s="79" t="str">
        <f>IF(AND(($L202&gt;0),ISBLANK(D202)),D202,"NOT")</f>
        <v>NOT</v>
      </c>
      <c r="T202" s="79" t="str">
        <f>IF(AND(($L202&gt;0),ISBLANK(F202)),F202,"NOT")</f>
        <v>NOT</v>
      </c>
      <c r="V202" s="79" t="str">
        <f t="shared" si="37"/>
        <v/>
      </c>
    </row>
    <row r="203" spans="1:22" x14ac:dyDescent="0.2">
      <c r="B203" s="259"/>
      <c r="C203" s="88"/>
      <c r="D203" s="260"/>
      <c r="E203" s="243"/>
      <c r="F203" s="261"/>
      <c r="G203" s="243"/>
      <c r="H203" s="262"/>
      <c r="I203" s="243"/>
      <c r="J203" s="262"/>
      <c r="K203" s="88"/>
      <c r="L203" s="143">
        <f>TRUNC(H203*J203,2)</f>
        <v>0</v>
      </c>
      <c r="N203" s="81"/>
      <c r="R203" s="79" t="str">
        <f>IF(AND(($L203&gt;0),ISBLANK(B203)),B203,"NOT")</f>
        <v>NOT</v>
      </c>
      <c r="S203" s="79" t="str">
        <f>IF(AND(($L203&gt;0),ISBLANK(D203)),D203,"NOT")</f>
        <v>NOT</v>
      </c>
      <c r="T203" s="79" t="str">
        <f>IF(AND(($L203&gt;0),ISBLANK(F203)),F203,"NOT")</f>
        <v>NOT</v>
      </c>
      <c r="V203" s="79" t="str">
        <f t="shared" si="37"/>
        <v/>
      </c>
    </row>
    <row r="204" spans="1:22" x14ac:dyDescent="0.2">
      <c r="B204" s="104"/>
      <c r="C204" s="88"/>
      <c r="D204" s="81"/>
      <c r="F204" s="81"/>
      <c r="H204" s="81"/>
      <c r="J204" s="81"/>
      <c r="K204" s="88"/>
      <c r="L204" s="81"/>
      <c r="N204" s="227"/>
    </row>
    <row r="205" spans="1:22" x14ac:dyDescent="0.2">
      <c r="B205" s="104"/>
      <c r="C205" s="88"/>
      <c r="D205" s="81"/>
      <c r="F205" s="81"/>
      <c r="H205" s="81"/>
      <c r="J205" s="81"/>
      <c r="K205" s="88"/>
      <c r="L205" s="81"/>
      <c r="N205" s="227"/>
    </row>
    <row r="206" spans="1:22" ht="27" customHeight="1" x14ac:dyDescent="0.2">
      <c r="A206" s="247">
        <v>6</v>
      </c>
      <c r="B206" s="248" t="s">
        <v>298</v>
      </c>
      <c r="C206" s="249"/>
      <c r="D206" s="760"/>
      <c r="E206" s="761"/>
      <c r="F206" s="761"/>
      <c r="G206" s="761"/>
      <c r="H206" s="762"/>
      <c r="I206" s="250"/>
      <c r="J206" s="251" t="s">
        <v>18</v>
      </c>
      <c r="K206" s="249"/>
      <c r="L206" s="252">
        <f>L208+L226</f>
        <v>0</v>
      </c>
      <c r="M206" s="250"/>
      <c r="N206" s="253">
        <f>IF(L206=0,0%,L206/L$8)</f>
        <v>0</v>
      </c>
      <c r="O206" s="94"/>
      <c r="P206" s="95"/>
      <c r="Q206" s="79" t="e">
        <f>IF(AND(R227=#REF!,#REF!&gt;#REF!),D206,0)</f>
        <v>#REF!</v>
      </c>
      <c r="R206" s="79" t="e">
        <f>IF(AND(R227=#REF!,#REF!&gt;#REF!),D206,0)</f>
        <v>#REF!</v>
      </c>
      <c r="S206" s="79">
        <f>IF('9. Project budget summary'!T41&gt;0,('9. Project budget summary'!T37+'9. Project budget summary'!T33)/'9. Project budget summary'!T41,0)</f>
        <v>0.67187048492599999</v>
      </c>
      <c r="T206" s="231" t="s">
        <v>172</v>
      </c>
      <c r="U206" s="320" t="s">
        <v>183</v>
      </c>
      <c r="V206" s="271">
        <v>0.7</v>
      </c>
    </row>
    <row r="207" spans="1:22" s="76" customFormat="1" ht="7.5" customHeight="1" x14ac:dyDescent="0.2">
      <c r="A207" s="87"/>
      <c r="B207" s="88"/>
      <c r="C207" s="88"/>
      <c r="D207" s="70"/>
      <c r="E207" s="70"/>
      <c r="F207" s="70"/>
      <c r="G207" s="70"/>
      <c r="H207" s="70"/>
      <c r="I207" s="70"/>
      <c r="J207" s="70"/>
      <c r="K207" s="88"/>
      <c r="L207" s="70"/>
      <c r="M207" s="70"/>
      <c r="N207" s="70"/>
      <c r="O207" s="89"/>
      <c r="V207" s="79"/>
    </row>
    <row r="208" spans="1:22" ht="13.5" customHeight="1" x14ac:dyDescent="0.2">
      <c r="A208" s="276"/>
      <c r="B208" s="278" t="s">
        <v>301</v>
      </c>
      <c r="C208" s="277"/>
      <c r="D208" s="747" t="s">
        <v>166</v>
      </c>
      <c r="E208" s="748"/>
      <c r="F208" s="748"/>
      <c r="G208" s="748"/>
      <c r="H208" s="748"/>
      <c r="I208" s="279"/>
      <c r="J208" s="280" t="s">
        <v>18</v>
      </c>
      <c r="K208" s="88"/>
      <c r="L208" s="156">
        <f>SUM(L215:L224)</f>
        <v>0</v>
      </c>
      <c r="M208" s="246"/>
      <c r="N208" s="147">
        <f>IF(L208=0,0%,L208/L$8)</f>
        <v>0</v>
      </c>
      <c r="O208" s="495">
        <f>IF(LEN(R208)&gt;3,1,0)</f>
        <v>0</v>
      </c>
      <c r="R208" s="79" t="str">
        <f>IF(AND(R214="NOT",S214="NOT",T214="NOT"),"NOT",D208)</f>
        <v>NOT</v>
      </c>
    </row>
    <row r="209" spans="1:22" s="76" customFormat="1" ht="3" customHeight="1" x14ac:dyDescent="0.2">
      <c r="A209" s="87"/>
      <c r="B209" s="88"/>
      <c r="C209" s="88"/>
      <c r="D209" s="70"/>
      <c r="E209" s="70"/>
      <c r="F209" s="70"/>
      <c r="G209" s="70"/>
      <c r="H209" s="70"/>
      <c r="I209" s="70"/>
      <c r="J209" s="70"/>
      <c r="K209" s="88"/>
      <c r="L209" s="70"/>
      <c r="M209" s="70"/>
      <c r="N209" s="70"/>
      <c r="O209" s="89"/>
      <c r="V209" s="79"/>
    </row>
    <row r="210" spans="1:22" ht="24.75" customHeight="1" x14ac:dyDescent="0.2">
      <c r="B210" s="749" t="s">
        <v>203</v>
      </c>
      <c r="C210" s="750"/>
      <c r="D210" s="750"/>
      <c r="E210" s="750"/>
      <c r="F210" s="750"/>
      <c r="H210" s="81"/>
      <c r="J210" s="81"/>
      <c r="K210" s="88"/>
      <c r="L210" s="81"/>
      <c r="N210" s="227"/>
      <c r="R210" s="79" t="str">
        <f>IF(AND(($L208&gt;0),ISBLANK(B212)),B210,"NOT")</f>
        <v>NOT</v>
      </c>
    </row>
    <row r="211" spans="1:22" ht="3" customHeight="1" x14ac:dyDescent="0.2">
      <c r="B211" s="104"/>
      <c r="C211" s="88"/>
      <c r="D211" s="81"/>
      <c r="F211" s="81"/>
      <c r="H211" s="81"/>
      <c r="J211" s="81"/>
      <c r="K211" s="88"/>
      <c r="L211" s="81"/>
      <c r="N211" s="227"/>
    </row>
    <row r="212" spans="1:22" ht="90" customHeight="1" x14ac:dyDescent="0.2">
      <c r="B212" s="744"/>
      <c r="C212" s="745"/>
      <c r="D212" s="745"/>
      <c r="E212" s="745"/>
      <c r="F212" s="745"/>
      <c r="G212" s="745"/>
      <c r="H212" s="745"/>
      <c r="I212" s="745"/>
      <c r="J212" s="745"/>
      <c r="K212" s="745"/>
      <c r="L212" s="746"/>
      <c r="M212" s="70" t="s">
        <v>19</v>
      </c>
      <c r="N212" s="227"/>
    </row>
    <row r="213" spans="1:22" ht="3.75" customHeight="1" x14ac:dyDescent="0.2">
      <c r="B213" s="104"/>
      <c r="C213" s="88"/>
      <c r="D213" s="81"/>
      <c r="F213" s="81"/>
      <c r="H213" s="81"/>
      <c r="J213" s="81"/>
      <c r="K213" s="88"/>
      <c r="L213" s="81"/>
      <c r="N213" s="227"/>
    </row>
    <row r="214" spans="1:22" ht="38.25" x14ac:dyDescent="0.2">
      <c r="B214" s="244" t="s">
        <v>204</v>
      </c>
      <c r="C214" s="88"/>
      <c r="D214" s="244" t="s">
        <v>580</v>
      </c>
      <c r="F214" s="244" t="s">
        <v>205</v>
      </c>
      <c r="H214" s="244" t="s">
        <v>16</v>
      </c>
      <c r="J214" s="244" t="s">
        <v>15</v>
      </c>
      <c r="K214" s="245"/>
      <c r="L214" s="103" t="s">
        <v>141</v>
      </c>
      <c r="N214" s="81"/>
      <c r="R214" s="255" t="str">
        <f>IF(AND(R215="NOT",R216="NOT",R217="NOT",R218="NOT",R219="NOT",R220="NOT",R221="NOT",R222="NOT",R223="NOT",R224="NOT",R210="NOT"),"NOT",D208)</f>
        <v>NOT</v>
      </c>
      <c r="S214" s="255" t="str">
        <f>IF(AND(S215="NOT",S216="NOT",S217="NOT",S218="NOT",S219="NOT",S220="NOT",S221="NOT",S222="NOT",S223="NOT",S224="NOT",R210="NOT"),"NOT",D208)</f>
        <v>NOT</v>
      </c>
      <c r="T214" s="255" t="str">
        <f>IF(AND(T215="NOT",T216="NOT",T217="NOT",T218="NOT",T219="NOT",T220="NOT",T221="NOT",T222="NOT",T223="NOT",T224="NOT",R210="NOT"),"NOT",D208)</f>
        <v>NOT</v>
      </c>
    </row>
    <row r="215" spans="1:22" x14ac:dyDescent="0.2">
      <c r="B215" s="259"/>
      <c r="C215" s="88"/>
      <c r="D215" s="260"/>
      <c r="E215" s="243"/>
      <c r="F215" s="261"/>
      <c r="G215" s="243"/>
      <c r="H215" s="262"/>
      <c r="I215" s="243"/>
      <c r="J215" s="262"/>
      <c r="K215" s="88"/>
      <c r="L215" s="143">
        <f t="shared" ref="L215:L224" si="38">TRUNC(H215*J215,2)</f>
        <v>0</v>
      </c>
      <c r="N215" s="81"/>
      <c r="R215" s="79" t="str">
        <f t="shared" ref="R215:R224" si="39">IF(AND(($L215&gt;0),ISBLANK(B215)),B215,"NOT")</f>
        <v>NOT</v>
      </c>
      <c r="S215" s="79" t="str">
        <f t="shared" ref="S215:S224" si="40">IF(AND(($L215&gt;0),ISBLANK(D215)),D215,"NOT")</f>
        <v>NOT</v>
      </c>
      <c r="T215" s="79" t="str">
        <f t="shared" ref="T215:T224" si="41">IF(AND(($L215&gt;0),ISBLANK(F215)),F215,"NOT")</f>
        <v>NOT</v>
      </c>
      <c r="V215" s="79" t="str">
        <f t="shared" ref="V215:V224" si="42">LEFT(D215,3)</f>
        <v/>
      </c>
    </row>
    <row r="216" spans="1:22" x14ac:dyDescent="0.2">
      <c r="B216" s="259"/>
      <c r="C216" s="88"/>
      <c r="D216" s="260"/>
      <c r="E216" s="243"/>
      <c r="F216" s="261"/>
      <c r="G216" s="243"/>
      <c r="H216" s="262"/>
      <c r="I216" s="243"/>
      <c r="J216" s="262"/>
      <c r="K216" s="88"/>
      <c r="L216" s="143">
        <f t="shared" si="38"/>
        <v>0</v>
      </c>
      <c r="N216" s="81"/>
      <c r="R216" s="79" t="str">
        <f t="shared" si="39"/>
        <v>NOT</v>
      </c>
      <c r="S216" s="79" t="str">
        <f t="shared" si="40"/>
        <v>NOT</v>
      </c>
      <c r="T216" s="79" t="str">
        <f t="shared" si="41"/>
        <v>NOT</v>
      </c>
      <c r="V216" s="79" t="str">
        <f t="shared" si="42"/>
        <v/>
      </c>
    </row>
    <row r="217" spans="1:22" x14ac:dyDescent="0.2">
      <c r="B217" s="259"/>
      <c r="C217" s="88"/>
      <c r="D217" s="260"/>
      <c r="E217" s="243"/>
      <c r="F217" s="261"/>
      <c r="G217" s="243"/>
      <c r="H217" s="262"/>
      <c r="I217" s="243"/>
      <c r="J217" s="262"/>
      <c r="K217" s="88"/>
      <c r="L217" s="143">
        <f t="shared" si="38"/>
        <v>0</v>
      </c>
      <c r="N217" s="81"/>
      <c r="R217" s="79" t="str">
        <f t="shared" si="39"/>
        <v>NOT</v>
      </c>
      <c r="S217" s="79" t="str">
        <f t="shared" si="40"/>
        <v>NOT</v>
      </c>
      <c r="T217" s="79" t="str">
        <f t="shared" si="41"/>
        <v>NOT</v>
      </c>
      <c r="V217" s="79" t="str">
        <f t="shared" si="42"/>
        <v/>
      </c>
    </row>
    <row r="218" spans="1:22" x14ac:dyDescent="0.2">
      <c r="B218" s="259"/>
      <c r="C218" s="88"/>
      <c r="D218" s="260"/>
      <c r="E218" s="243"/>
      <c r="F218" s="261"/>
      <c r="G218" s="243"/>
      <c r="H218" s="262"/>
      <c r="I218" s="243"/>
      <c r="J218" s="262"/>
      <c r="K218" s="88"/>
      <c r="L218" s="143">
        <f t="shared" si="38"/>
        <v>0</v>
      </c>
      <c r="N218" s="81"/>
      <c r="R218" s="79" t="str">
        <f t="shared" si="39"/>
        <v>NOT</v>
      </c>
      <c r="S218" s="79" t="str">
        <f t="shared" si="40"/>
        <v>NOT</v>
      </c>
      <c r="T218" s="79" t="str">
        <f t="shared" si="41"/>
        <v>NOT</v>
      </c>
      <c r="V218" s="79" t="str">
        <f t="shared" si="42"/>
        <v/>
      </c>
    </row>
    <row r="219" spans="1:22" x14ac:dyDescent="0.2">
      <c r="B219" s="259"/>
      <c r="C219" s="88"/>
      <c r="D219" s="260"/>
      <c r="E219" s="243"/>
      <c r="F219" s="261"/>
      <c r="G219" s="243"/>
      <c r="H219" s="262"/>
      <c r="I219" s="243"/>
      <c r="J219" s="262"/>
      <c r="K219" s="88"/>
      <c r="L219" s="143">
        <f t="shared" si="38"/>
        <v>0</v>
      </c>
      <c r="N219" s="81"/>
      <c r="R219" s="79" t="str">
        <f t="shared" si="39"/>
        <v>NOT</v>
      </c>
      <c r="S219" s="79" t="str">
        <f t="shared" si="40"/>
        <v>NOT</v>
      </c>
      <c r="T219" s="79" t="str">
        <f t="shared" si="41"/>
        <v>NOT</v>
      </c>
      <c r="V219" s="79" t="str">
        <f t="shared" si="42"/>
        <v/>
      </c>
    </row>
    <row r="220" spans="1:22" x14ac:dyDescent="0.2">
      <c r="B220" s="259"/>
      <c r="C220" s="88"/>
      <c r="D220" s="260"/>
      <c r="E220" s="243"/>
      <c r="F220" s="261"/>
      <c r="G220" s="243"/>
      <c r="H220" s="262"/>
      <c r="I220" s="243"/>
      <c r="J220" s="262"/>
      <c r="K220" s="88"/>
      <c r="L220" s="143">
        <f t="shared" si="38"/>
        <v>0</v>
      </c>
      <c r="N220" s="81"/>
      <c r="R220" s="79" t="str">
        <f t="shared" si="39"/>
        <v>NOT</v>
      </c>
      <c r="S220" s="79" t="str">
        <f t="shared" si="40"/>
        <v>NOT</v>
      </c>
      <c r="T220" s="79" t="str">
        <f t="shared" si="41"/>
        <v>NOT</v>
      </c>
      <c r="V220" s="79" t="str">
        <f t="shared" si="42"/>
        <v/>
      </c>
    </row>
    <row r="221" spans="1:22" x14ac:dyDescent="0.2">
      <c r="B221" s="259"/>
      <c r="C221" s="88"/>
      <c r="D221" s="260"/>
      <c r="E221" s="243"/>
      <c r="F221" s="261"/>
      <c r="G221" s="243"/>
      <c r="H221" s="262"/>
      <c r="I221" s="243"/>
      <c r="J221" s="262"/>
      <c r="K221" s="88"/>
      <c r="L221" s="143">
        <f t="shared" si="38"/>
        <v>0</v>
      </c>
      <c r="N221" s="81"/>
      <c r="R221" s="79" t="str">
        <f t="shared" si="39"/>
        <v>NOT</v>
      </c>
      <c r="S221" s="79" t="str">
        <f t="shared" si="40"/>
        <v>NOT</v>
      </c>
      <c r="T221" s="79" t="str">
        <f t="shared" si="41"/>
        <v>NOT</v>
      </c>
      <c r="V221" s="79" t="str">
        <f t="shared" si="42"/>
        <v/>
      </c>
    </row>
    <row r="222" spans="1:22" x14ac:dyDescent="0.2">
      <c r="B222" s="259"/>
      <c r="C222" s="88"/>
      <c r="D222" s="260"/>
      <c r="E222" s="243"/>
      <c r="F222" s="261"/>
      <c r="G222" s="243"/>
      <c r="H222" s="262"/>
      <c r="I222" s="243"/>
      <c r="J222" s="262"/>
      <c r="K222" s="88"/>
      <c r="L222" s="143">
        <f t="shared" si="38"/>
        <v>0</v>
      </c>
      <c r="N222" s="81"/>
      <c r="R222" s="79" t="str">
        <f t="shared" si="39"/>
        <v>NOT</v>
      </c>
      <c r="S222" s="79" t="str">
        <f t="shared" si="40"/>
        <v>NOT</v>
      </c>
      <c r="T222" s="79" t="str">
        <f t="shared" si="41"/>
        <v>NOT</v>
      </c>
      <c r="V222" s="79" t="str">
        <f t="shared" si="42"/>
        <v/>
      </c>
    </row>
    <row r="223" spans="1:22" x14ac:dyDescent="0.2">
      <c r="B223" s="259"/>
      <c r="C223" s="88"/>
      <c r="D223" s="260"/>
      <c r="E223" s="243"/>
      <c r="F223" s="261"/>
      <c r="G223" s="243"/>
      <c r="H223" s="262"/>
      <c r="I223" s="243"/>
      <c r="J223" s="262"/>
      <c r="K223" s="88"/>
      <c r="L223" s="143">
        <f t="shared" si="38"/>
        <v>0</v>
      </c>
      <c r="N223" s="81"/>
      <c r="R223" s="79" t="str">
        <f t="shared" si="39"/>
        <v>NOT</v>
      </c>
      <c r="S223" s="79" t="str">
        <f t="shared" si="40"/>
        <v>NOT</v>
      </c>
      <c r="T223" s="79" t="str">
        <f t="shared" si="41"/>
        <v>NOT</v>
      </c>
      <c r="V223" s="79" t="str">
        <f t="shared" si="42"/>
        <v/>
      </c>
    </row>
    <row r="224" spans="1:22" x14ac:dyDescent="0.2">
      <c r="B224" s="259"/>
      <c r="C224" s="88"/>
      <c r="D224" s="260"/>
      <c r="E224" s="243"/>
      <c r="F224" s="261"/>
      <c r="G224" s="243"/>
      <c r="H224" s="262"/>
      <c r="I224" s="243"/>
      <c r="J224" s="262"/>
      <c r="K224" s="88"/>
      <c r="L224" s="143">
        <f t="shared" si="38"/>
        <v>0</v>
      </c>
      <c r="N224" s="81"/>
      <c r="R224" s="79" t="str">
        <f t="shared" si="39"/>
        <v>NOT</v>
      </c>
      <c r="S224" s="79" t="str">
        <f t="shared" si="40"/>
        <v>NOT</v>
      </c>
      <c r="T224" s="79" t="str">
        <f t="shared" si="41"/>
        <v>NOT</v>
      </c>
      <c r="V224" s="79" t="str">
        <f t="shared" si="42"/>
        <v/>
      </c>
    </row>
    <row r="225" spans="1:22" x14ac:dyDescent="0.2">
      <c r="B225" s="104"/>
      <c r="C225" s="88"/>
      <c r="D225" s="81"/>
      <c r="F225" s="81"/>
      <c r="H225" s="81"/>
      <c r="J225" s="81"/>
      <c r="K225" s="88"/>
      <c r="L225" s="81"/>
      <c r="N225" s="227"/>
    </row>
    <row r="226" spans="1:22" ht="13.5" customHeight="1" x14ac:dyDescent="0.2">
      <c r="A226" s="276"/>
      <c r="B226" s="278" t="s">
        <v>302</v>
      </c>
      <c r="C226" s="249"/>
      <c r="D226" s="754" t="s">
        <v>300</v>
      </c>
      <c r="E226" s="755"/>
      <c r="F226" s="755"/>
      <c r="G226" s="755"/>
      <c r="H226" s="756"/>
      <c r="I226" s="250"/>
      <c r="J226" s="280" t="s">
        <v>18</v>
      </c>
      <c r="K226" s="88"/>
      <c r="L226" s="156">
        <f>IF(LEN(D1)&gt;5,1000,0)</f>
        <v>0</v>
      </c>
      <c r="M226" s="246"/>
      <c r="N226" s="147">
        <f>IF(L226=0,0%,L226/L$8)</f>
        <v>0</v>
      </c>
      <c r="R226" s="79" t="e">
        <f>IF(AND(#REF!="NOT",#REF!="NOT",#REF!="NOT"),"NOT",D226)</f>
        <v>#REF!</v>
      </c>
    </row>
    <row r="227" spans="1:22" x14ac:dyDescent="0.2">
      <c r="B227" s="104"/>
      <c r="C227" s="88"/>
      <c r="D227" s="81"/>
      <c r="F227" s="81"/>
      <c r="H227" s="81"/>
      <c r="J227" s="81"/>
      <c r="K227" s="88"/>
      <c r="L227" s="81"/>
      <c r="N227" s="227"/>
      <c r="R227" s="321" t="str">
        <f>LEFT('1. General Data'!E25,5)</f>
        <v>2.1.1</v>
      </c>
      <c r="S227" s="231">
        <f>IF('9. Project budget summary'!T41&gt;0,'9. Project budget summary'!T37/'9. Project budget summary'!T41,0)</f>
        <v>0.52183891467003807</v>
      </c>
      <c r="T227" s="231" t="s">
        <v>170</v>
      </c>
      <c r="U227" s="320" t="s">
        <v>26</v>
      </c>
      <c r="V227" s="271">
        <v>0.5</v>
      </c>
    </row>
    <row r="228" spans="1:22" ht="40.5" customHeight="1" x14ac:dyDescent="0.2">
      <c r="A228" s="247">
        <v>7</v>
      </c>
      <c r="B228" s="248" t="s">
        <v>299</v>
      </c>
      <c r="C228" s="249"/>
      <c r="D228" s="317"/>
      <c r="E228" s="327"/>
      <c r="F228" s="757"/>
      <c r="G228" s="758"/>
      <c r="H228" s="759"/>
      <c r="I228" s="250"/>
      <c r="J228" s="251" t="s">
        <v>18</v>
      </c>
      <c r="K228" s="249"/>
      <c r="L228" s="252">
        <f>L230+L248</f>
        <v>0</v>
      </c>
      <c r="M228" s="250"/>
      <c r="N228" s="253">
        <f>IF(L228=0,0%,L228/L$8)</f>
        <v>0</v>
      </c>
      <c r="O228" s="94"/>
      <c r="P228" s="95"/>
      <c r="Q228" s="321" t="e">
        <f>IF(R227=#REF!,IF(#REF!&gt;#REF!,D228,0),IF(AND(OR(R227=U228,R227=#REF!,R227=U229),N228&gt;V228),D228,0))</f>
        <v>#REF!</v>
      </c>
      <c r="R228" s="321">
        <f>IF(AND(R227=U227,S227&lt;V227),F228,0)</f>
        <v>0</v>
      </c>
      <c r="S228" s="231">
        <f>IF('9. Project budget summary'!T41&gt;0,'9. Project budget summary'!T37/'9. Project budget summary'!T41,0)</f>
        <v>0.52183891467003807</v>
      </c>
      <c r="T228" s="231" t="s">
        <v>171</v>
      </c>
      <c r="U228" s="320" t="s">
        <v>32</v>
      </c>
      <c r="V228" s="271">
        <v>0.7</v>
      </c>
    </row>
    <row r="229" spans="1:22" s="76" customFormat="1" ht="7.5" customHeight="1" x14ac:dyDescent="0.2">
      <c r="A229" s="87"/>
      <c r="B229" s="88"/>
      <c r="C229" s="88"/>
      <c r="D229" s="70"/>
      <c r="E229" s="70"/>
      <c r="F229" s="70"/>
      <c r="G229" s="70"/>
      <c r="H229" s="70"/>
      <c r="I229" s="70"/>
      <c r="J229" s="70"/>
      <c r="K229" s="88"/>
      <c r="L229" s="70"/>
      <c r="M229" s="70"/>
      <c r="N229" s="70"/>
      <c r="O229" s="89"/>
      <c r="S229" s="231">
        <f>IF('9. Project budget summary'!T41&gt;0,'9. Project budget summary'!T37/'9. Project budget summary'!T41,0)</f>
        <v>0.52183891467003807</v>
      </c>
      <c r="T229" s="231" t="s">
        <v>171</v>
      </c>
      <c r="U229" s="320" t="s">
        <v>24</v>
      </c>
      <c r="V229" s="271">
        <v>0.7</v>
      </c>
    </row>
    <row r="230" spans="1:22" ht="28.5" customHeight="1" x14ac:dyDescent="0.2">
      <c r="A230" s="276"/>
      <c r="B230" s="278" t="s">
        <v>303</v>
      </c>
      <c r="C230" s="277"/>
      <c r="D230" s="747" t="s">
        <v>166</v>
      </c>
      <c r="E230" s="748"/>
      <c r="F230" s="748"/>
      <c r="G230" s="748"/>
      <c r="H230" s="748"/>
      <c r="I230" s="279"/>
      <c r="J230" s="280" t="s">
        <v>18</v>
      </c>
      <c r="K230" s="88"/>
      <c r="L230" s="156">
        <f>SUM(L237:L246)</f>
        <v>0</v>
      </c>
      <c r="M230" s="246"/>
      <c r="N230" s="147">
        <f>IF(L230=0,0%,L230/L$8)</f>
        <v>0</v>
      </c>
      <c r="O230" s="495">
        <f>IF(LEN(R230)&gt;3,1,0)</f>
        <v>0</v>
      </c>
      <c r="R230" s="79" t="str">
        <f>IF(AND(R236="NOT",S236="NOT",T236="NOT"),"NOT",D230)</f>
        <v>NOT</v>
      </c>
      <c r="U230" s="328"/>
    </row>
    <row r="231" spans="1:22" s="76" customFormat="1" ht="3" customHeight="1" x14ac:dyDescent="0.2">
      <c r="A231" s="87"/>
      <c r="B231" s="88"/>
      <c r="C231" s="88"/>
      <c r="D231" s="70"/>
      <c r="E231" s="70"/>
      <c r="F231" s="70"/>
      <c r="G231" s="70"/>
      <c r="H231" s="70"/>
      <c r="I231" s="70"/>
      <c r="J231" s="70"/>
      <c r="K231" s="88"/>
      <c r="L231" s="70"/>
      <c r="M231" s="70"/>
      <c r="N231" s="70"/>
      <c r="O231" s="89"/>
      <c r="V231" s="79"/>
    </row>
    <row r="232" spans="1:22" ht="29.25" customHeight="1" x14ac:dyDescent="0.2">
      <c r="B232" s="749" t="s">
        <v>203</v>
      </c>
      <c r="C232" s="750"/>
      <c r="D232" s="750"/>
      <c r="E232" s="750"/>
      <c r="F232" s="750"/>
      <c r="H232" s="81"/>
      <c r="J232" s="81"/>
      <c r="K232" s="88"/>
      <c r="L232" s="81"/>
      <c r="N232" s="227"/>
      <c r="R232" s="79" t="str">
        <f>IF(AND(($L230&gt;0),ISBLANK(B234)),B232,"NOT")</f>
        <v>NOT</v>
      </c>
    </row>
    <row r="233" spans="1:22" ht="3" customHeight="1" x14ac:dyDescent="0.2">
      <c r="B233" s="104"/>
      <c r="C233" s="88"/>
      <c r="D233" s="81"/>
      <c r="F233" s="81"/>
      <c r="H233" s="81"/>
      <c r="J233" s="81"/>
      <c r="K233" s="88"/>
      <c r="L233" s="81"/>
      <c r="N233" s="227"/>
    </row>
    <row r="234" spans="1:22" ht="90" customHeight="1" x14ac:dyDescent="0.2">
      <c r="B234" s="744"/>
      <c r="C234" s="745"/>
      <c r="D234" s="745"/>
      <c r="E234" s="745"/>
      <c r="F234" s="745"/>
      <c r="G234" s="745"/>
      <c r="H234" s="745"/>
      <c r="I234" s="745"/>
      <c r="J234" s="745"/>
      <c r="K234" s="745"/>
      <c r="L234" s="746"/>
      <c r="M234" s="70" t="s">
        <v>19</v>
      </c>
      <c r="N234" s="227"/>
    </row>
    <row r="235" spans="1:22" ht="3.75" customHeight="1" x14ac:dyDescent="0.2">
      <c r="B235" s="104"/>
      <c r="C235" s="88"/>
      <c r="D235" s="81"/>
      <c r="F235" s="81"/>
      <c r="H235" s="81"/>
      <c r="J235" s="81"/>
      <c r="K235" s="88"/>
      <c r="L235" s="81"/>
      <c r="N235" s="227"/>
    </row>
    <row r="236" spans="1:22" ht="12.75" customHeight="1" x14ac:dyDescent="0.2">
      <c r="B236" s="244" t="s">
        <v>17</v>
      </c>
      <c r="C236" s="88"/>
      <c r="D236" s="244" t="s">
        <v>580</v>
      </c>
      <c r="F236" s="244" t="s">
        <v>205</v>
      </c>
      <c r="H236" s="244" t="s">
        <v>16</v>
      </c>
      <c r="J236" s="244" t="s">
        <v>15</v>
      </c>
      <c r="K236" s="245"/>
      <c r="L236" s="103" t="s">
        <v>141</v>
      </c>
      <c r="N236" s="81"/>
      <c r="R236" s="255" t="str">
        <f>IF(AND(R237="NOT",R238="NOT",R239="NOT",R240="NOT",R241="NOT",R242="NOT",R243="NOT",R244="NOT",R245="NOT",R246="NOT",R232="NOT"),"NOT",D230)</f>
        <v>NOT</v>
      </c>
      <c r="S236" s="255" t="str">
        <f>IF(AND(S237="NOT",S238="NOT",S239="NOT",S240="NOT",S241="NOT",S242="NOT",S243="NOT",S244="NOT",S245="NOT",S246="NOT",R232="NOT"),"NOT",D230)</f>
        <v>NOT</v>
      </c>
      <c r="T236" s="255" t="str">
        <f>IF(AND(T237="NOT",T238="NOT",T239="NOT",T240="NOT",T241="NOT",T242="NOT",T243="NOT",T244="NOT",T245="NOT",T246="NOT",R232="NOT"),"NOT",D230)</f>
        <v>NOT</v>
      </c>
    </row>
    <row r="237" spans="1:22" x14ac:dyDescent="0.2">
      <c r="B237" s="259"/>
      <c r="C237" s="88"/>
      <c r="D237" s="260"/>
      <c r="E237" s="243"/>
      <c r="F237" s="261"/>
      <c r="G237" s="243"/>
      <c r="H237" s="262"/>
      <c r="I237" s="243"/>
      <c r="J237" s="262"/>
      <c r="K237" s="88"/>
      <c r="L237" s="143">
        <f t="shared" ref="L237:L246" si="43">TRUNC(H237*J237,2)</f>
        <v>0</v>
      </c>
      <c r="N237" s="81"/>
      <c r="R237" s="79" t="str">
        <f t="shared" ref="R237:R246" si="44">IF(AND(($L237&gt;0),ISBLANK(B237)),B237,"NOT")</f>
        <v>NOT</v>
      </c>
      <c r="S237" s="79" t="str">
        <f t="shared" ref="S237:S246" si="45">IF(AND(($L237&gt;0),ISBLANK(D237)),D237,"NOT")</f>
        <v>NOT</v>
      </c>
      <c r="T237" s="79" t="str">
        <f t="shared" ref="T237:T246" si="46">IF(AND(($L237&gt;0),ISBLANK(F237)),F237,"NOT")</f>
        <v>NOT</v>
      </c>
      <c r="V237" s="79" t="str">
        <f t="shared" ref="V237:V246" si="47">LEFT(D237,3)</f>
        <v/>
      </c>
    </row>
    <row r="238" spans="1:22" x14ac:dyDescent="0.2">
      <c r="B238" s="259"/>
      <c r="C238" s="88"/>
      <c r="D238" s="260"/>
      <c r="E238" s="243"/>
      <c r="F238" s="261"/>
      <c r="G238" s="243"/>
      <c r="H238" s="262"/>
      <c r="I238" s="243"/>
      <c r="J238" s="262"/>
      <c r="K238" s="88"/>
      <c r="L238" s="143">
        <f t="shared" si="43"/>
        <v>0</v>
      </c>
      <c r="N238" s="81"/>
      <c r="R238" s="79" t="str">
        <f t="shared" si="44"/>
        <v>NOT</v>
      </c>
      <c r="S238" s="79" t="str">
        <f t="shared" si="45"/>
        <v>NOT</v>
      </c>
      <c r="T238" s="79" t="str">
        <f t="shared" si="46"/>
        <v>NOT</v>
      </c>
      <c r="V238" s="79" t="str">
        <f t="shared" si="47"/>
        <v/>
      </c>
    </row>
    <row r="239" spans="1:22" x14ac:dyDescent="0.2">
      <c r="B239" s="259"/>
      <c r="C239" s="88"/>
      <c r="D239" s="260"/>
      <c r="E239" s="243"/>
      <c r="F239" s="261"/>
      <c r="G239" s="243"/>
      <c r="H239" s="262"/>
      <c r="I239" s="243"/>
      <c r="J239" s="262"/>
      <c r="K239" s="88"/>
      <c r="L239" s="143">
        <f t="shared" si="43"/>
        <v>0</v>
      </c>
      <c r="N239" s="81"/>
      <c r="R239" s="79" t="str">
        <f t="shared" si="44"/>
        <v>NOT</v>
      </c>
      <c r="S239" s="79" t="str">
        <f t="shared" si="45"/>
        <v>NOT</v>
      </c>
      <c r="T239" s="79" t="str">
        <f t="shared" si="46"/>
        <v>NOT</v>
      </c>
      <c r="V239" s="79" t="str">
        <f t="shared" si="47"/>
        <v/>
      </c>
    </row>
    <row r="240" spans="1:22" x14ac:dyDescent="0.2">
      <c r="B240" s="259"/>
      <c r="C240" s="88"/>
      <c r="D240" s="260"/>
      <c r="E240" s="243"/>
      <c r="F240" s="261"/>
      <c r="G240" s="243"/>
      <c r="H240" s="262"/>
      <c r="I240" s="243"/>
      <c r="J240" s="262"/>
      <c r="K240" s="88"/>
      <c r="L240" s="143">
        <f t="shared" si="43"/>
        <v>0</v>
      </c>
      <c r="N240" s="81"/>
      <c r="R240" s="79" t="str">
        <f t="shared" si="44"/>
        <v>NOT</v>
      </c>
      <c r="S240" s="79" t="str">
        <f t="shared" si="45"/>
        <v>NOT</v>
      </c>
      <c r="T240" s="79" t="str">
        <f t="shared" si="46"/>
        <v>NOT</v>
      </c>
      <c r="V240" s="79" t="str">
        <f t="shared" si="47"/>
        <v/>
      </c>
    </row>
    <row r="241" spans="1:22" x14ac:dyDescent="0.2">
      <c r="B241" s="259"/>
      <c r="C241" s="88"/>
      <c r="D241" s="260"/>
      <c r="E241" s="243"/>
      <c r="F241" s="261"/>
      <c r="G241" s="243"/>
      <c r="H241" s="262"/>
      <c r="I241" s="243"/>
      <c r="J241" s="262"/>
      <c r="K241" s="88"/>
      <c r="L241" s="143">
        <f t="shared" si="43"/>
        <v>0</v>
      </c>
      <c r="N241" s="81"/>
      <c r="R241" s="79" t="str">
        <f t="shared" si="44"/>
        <v>NOT</v>
      </c>
      <c r="S241" s="79" t="str">
        <f t="shared" si="45"/>
        <v>NOT</v>
      </c>
      <c r="T241" s="79" t="str">
        <f t="shared" si="46"/>
        <v>NOT</v>
      </c>
      <c r="V241" s="79" t="str">
        <f t="shared" si="47"/>
        <v/>
      </c>
    </row>
    <row r="242" spans="1:22" x14ac:dyDescent="0.2">
      <c r="B242" s="259"/>
      <c r="C242" s="88"/>
      <c r="D242" s="260"/>
      <c r="E242" s="243"/>
      <c r="F242" s="261"/>
      <c r="G242" s="243"/>
      <c r="H242" s="262"/>
      <c r="I242" s="243"/>
      <c r="J242" s="262"/>
      <c r="K242" s="88"/>
      <c r="L242" s="143">
        <f t="shared" si="43"/>
        <v>0</v>
      </c>
      <c r="N242" s="81"/>
      <c r="R242" s="79" t="str">
        <f t="shared" si="44"/>
        <v>NOT</v>
      </c>
      <c r="S242" s="79" t="str">
        <f t="shared" si="45"/>
        <v>NOT</v>
      </c>
      <c r="T242" s="79" t="str">
        <f t="shared" si="46"/>
        <v>NOT</v>
      </c>
      <c r="V242" s="79" t="str">
        <f t="shared" si="47"/>
        <v/>
      </c>
    </row>
    <row r="243" spans="1:22" x14ac:dyDescent="0.2">
      <c r="B243" s="259"/>
      <c r="C243" s="88"/>
      <c r="D243" s="260"/>
      <c r="E243" s="243"/>
      <c r="F243" s="261"/>
      <c r="G243" s="243"/>
      <c r="H243" s="262"/>
      <c r="I243" s="243"/>
      <c r="J243" s="262"/>
      <c r="K243" s="88"/>
      <c r="L243" s="143">
        <f t="shared" si="43"/>
        <v>0</v>
      </c>
      <c r="N243" s="81"/>
      <c r="R243" s="79" t="str">
        <f t="shared" si="44"/>
        <v>NOT</v>
      </c>
      <c r="S243" s="79" t="str">
        <f t="shared" si="45"/>
        <v>NOT</v>
      </c>
      <c r="T243" s="79" t="str">
        <f t="shared" si="46"/>
        <v>NOT</v>
      </c>
      <c r="V243" s="79" t="str">
        <f t="shared" si="47"/>
        <v/>
      </c>
    </row>
    <row r="244" spans="1:22" x14ac:dyDescent="0.2">
      <c r="B244" s="259"/>
      <c r="C244" s="88"/>
      <c r="D244" s="260"/>
      <c r="E244" s="243"/>
      <c r="F244" s="261"/>
      <c r="G244" s="243"/>
      <c r="H244" s="262"/>
      <c r="I244" s="243"/>
      <c r="J244" s="262"/>
      <c r="K244" s="88"/>
      <c r="L244" s="143">
        <f t="shared" si="43"/>
        <v>0</v>
      </c>
      <c r="N244" s="81"/>
      <c r="R244" s="79" t="str">
        <f t="shared" si="44"/>
        <v>NOT</v>
      </c>
      <c r="S244" s="79" t="str">
        <f t="shared" si="45"/>
        <v>NOT</v>
      </c>
      <c r="T244" s="79" t="str">
        <f t="shared" si="46"/>
        <v>NOT</v>
      </c>
      <c r="V244" s="79" t="str">
        <f t="shared" si="47"/>
        <v/>
      </c>
    </row>
    <row r="245" spans="1:22" x14ac:dyDescent="0.2">
      <c r="B245" s="259"/>
      <c r="C245" s="88"/>
      <c r="D245" s="260"/>
      <c r="E245" s="243"/>
      <c r="F245" s="261"/>
      <c r="G245" s="243"/>
      <c r="H245" s="262"/>
      <c r="I245" s="243"/>
      <c r="J245" s="262"/>
      <c r="K245" s="88"/>
      <c r="L245" s="143">
        <f t="shared" si="43"/>
        <v>0</v>
      </c>
      <c r="N245" s="81"/>
      <c r="R245" s="79" t="str">
        <f t="shared" si="44"/>
        <v>NOT</v>
      </c>
      <c r="S245" s="79" t="str">
        <f t="shared" si="45"/>
        <v>NOT</v>
      </c>
      <c r="T245" s="79" t="str">
        <f t="shared" si="46"/>
        <v>NOT</v>
      </c>
      <c r="V245" s="79" t="str">
        <f t="shared" si="47"/>
        <v/>
      </c>
    </row>
    <row r="246" spans="1:22" x14ac:dyDescent="0.2">
      <c r="B246" s="259"/>
      <c r="C246" s="88"/>
      <c r="D246" s="260"/>
      <c r="E246" s="243"/>
      <c r="F246" s="261"/>
      <c r="G246" s="243"/>
      <c r="H246" s="262"/>
      <c r="I246" s="243"/>
      <c r="J246" s="262"/>
      <c r="K246" s="88"/>
      <c r="L246" s="143">
        <f t="shared" si="43"/>
        <v>0</v>
      </c>
      <c r="N246" s="81"/>
      <c r="R246" s="79" t="str">
        <f t="shared" si="44"/>
        <v>NOT</v>
      </c>
      <c r="S246" s="79" t="str">
        <f t="shared" si="45"/>
        <v>NOT</v>
      </c>
      <c r="T246" s="79" t="str">
        <f t="shared" si="46"/>
        <v>NOT</v>
      </c>
      <c r="V246" s="79" t="str">
        <f t="shared" si="47"/>
        <v/>
      </c>
    </row>
    <row r="247" spans="1:22" x14ac:dyDescent="0.2">
      <c r="B247" s="104"/>
      <c r="C247" s="88"/>
      <c r="D247" s="81"/>
      <c r="F247" s="81"/>
      <c r="H247" s="81"/>
      <c r="J247" s="81"/>
      <c r="K247" s="88"/>
      <c r="L247" s="81"/>
      <c r="N247" s="227"/>
    </row>
    <row r="248" spans="1:22" ht="13.5" customHeight="1" x14ac:dyDescent="0.2">
      <c r="A248" s="276"/>
      <c r="B248" s="278" t="s">
        <v>304</v>
      </c>
      <c r="C248" s="277"/>
      <c r="D248" s="747" t="s">
        <v>166</v>
      </c>
      <c r="E248" s="748"/>
      <c r="F248" s="748"/>
      <c r="G248" s="748"/>
      <c r="H248" s="748"/>
      <c r="I248" s="279"/>
      <c r="J248" s="280" t="s">
        <v>18</v>
      </c>
      <c r="K248" s="88"/>
      <c r="L248" s="156">
        <f>SUM(L255:L258)</f>
        <v>0</v>
      </c>
      <c r="M248" s="246"/>
      <c r="N248" s="147">
        <f>IF(L248=0,0%,L248/L$8)</f>
        <v>0</v>
      </c>
      <c r="O248" s="495">
        <f>IF(LEN(R248)&gt;3,1,0)</f>
        <v>0</v>
      </c>
      <c r="P248" s="270">
        <v>0.1</v>
      </c>
      <c r="Q248" s="231" t="str">
        <f>IF('9. Project budget summary'!X39=1,B249,"")</f>
        <v/>
      </c>
      <c r="R248" s="79" t="str">
        <f>IF(AND(R254="NOT",S254="NOT",T254="NOT"),"NOT",D248)</f>
        <v>NOT</v>
      </c>
    </row>
    <row r="249" spans="1:22" s="76" customFormat="1" ht="27" customHeight="1" x14ac:dyDescent="0.2">
      <c r="A249" s="87"/>
      <c r="B249" s="752" t="s">
        <v>643</v>
      </c>
      <c r="C249" s="753"/>
      <c r="D249" s="753"/>
      <c r="E249" s="753"/>
      <c r="F249" s="753"/>
      <c r="G249" s="753"/>
      <c r="H249" s="753"/>
      <c r="I249" s="753"/>
      <c r="J249" s="753"/>
      <c r="K249" s="88"/>
      <c r="L249" s="70"/>
      <c r="M249" s="70"/>
      <c r="N249" s="70"/>
      <c r="O249" s="495">
        <f>IF(LEN(Q248)&gt;3,1,0)</f>
        <v>0</v>
      </c>
      <c r="Q249" s="272"/>
      <c r="V249" s="79"/>
    </row>
    <row r="250" spans="1:22" x14ac:dyDescent="0.2">
      <c r="B250" s="742" t="s">
        <v>197</v>
      </c>
      <c r="C250" s="743"/>
      <c r="D250" s="743"/>
      <c r="E250" s="743"/>
      <c r="F250" s="743"/>
      <c r="H250" s="81"/>
      <c r="J250" s="81"/>
      <c r="K250" s="88"/>
      <c r="L250" s="81"/>
      <c r="N250" s="227"/>
      <c r="R250" s="79" t="str">
        <f>IF(AND(($L248&gt;0),ISBLANK(B252)),B250,"NOT")</f>
        <v>NOT</v>
      </c>
    </row>
    <row r="251" spans="1:22" ht="3" customHeight="1" x14ac:dyDescent="0.2">
      <c r="B251" s="104"/>
      <c r="C251" s="88"/>
      <c r="D251" s="81"/>
      <c r="F251" s="81"/>
      <c r="H251" s="81"/>
      <c r="J251" s="81"/>
      <c r="K251" s="88"/>
      <c r="L251" s="81"/>
      <c r="N251" s="227"/>
    </row>
    <row r="252" spans="1:22" ht="48" customHeight="1" x14ac:dyDescent="0.2">
      <c r="B252" s="744"/>
      <c r="C252" s="745"/>
      <c r="D252" s="745"/>
      <c r="E252" s="745"/>
      <c r="F252" s="745"/>
      <c r="G252" s="745"/>
      <c r="H252" s="745"/>
      <c r="I252" s="745"/>
      <c r="J252" s="745"/>
      <c r="K252" s="745"/>
      <c r="L252" s="746"/>
      <c r="M252" s="70" t="s">
        <v>19</v>
      </c>
      <c r="N252" s="227"/>
    </row>
    <row r="253" spans="1:22" ht="3.75" customHeight="1" x14ac:dyDescent="0.2">
      <c r="B253" s="104"/>
      <c r="C253" s="88"/>
      <c r="D253" s="81"/>
      <c r="F253" s="81"/>
      <c r="H253" s="81"/>
      <c r="J253" s="81"/>
      <c r="K253" s="88"/>
      <c r="L253" s="81"/>
      <c r="N253" s="227"/>
    </row>
    <row r="254" spans="1:22" ht="12.75" customHeight="1" x14ac:dyDescent="0.2">
      <c r="B254" s="244" t="s">
        <v>17</v>
      </c>
      <c r="C254" s="88"/>
      <c r="D254" s="244" t="s">
        <v>580</v>
      </c>
      <c r="F254" s="244" t="s">
        <v>205</v>
      </c>
      <c r="H254" s="244" t="s">
        <v>16</v>
      </c>
      <c r="J254" s="244" t="s">
        <v>15</v>
      </c>
      <c r="K254" s="245"/>
      <c r="L254" s="103" t="s">
        <v>141</v>
      </c>
      <c r="N254" s="81"/>
      <c r="R254" s="255" t="str">
        <f>IF(AND(R255="NOT",R256="NOT",R257="NOT",R258="NOT",R250="NOT"),"NOT",D248)</f>
        <v>NOT</v>
      </c>
      <c r="S254" s="255" t="str">
        <f>IF(AND(S255="NOT",S256="NOT",S257="NOT",S258="NOT",R250="NOT"),"NOT",D248)</f>
        <v>NOT</v>
      </c>
      <c r="T254" s="255" t="str">
        <f>IF(AND(T255="NOT",T256="NOT",T257="NOT",T258="NOT",R250="NOT"),"NOT",D248)</f>
        <v>NOT</v>
      </c>
    </row>
    <row r="255" spans="1:22" x14ac:dyDescent="0.2">
      <c r="B255" s="259"/>
      <c r="C255" s="88"/>
      <c r="D255" s="260"/>
      <c r="E255" s="243"/>
      <c r="F255" s="261"/>
      <c r="G255" s="243"/>
      <c r="H255" s="262"/>
      <c r="I255" s="243"/>
      <c r="J255" s="262"/>
      <c r="K255" s="88"/>
      <c r="L255" s="143">
        <f>TRUNC(H255*J255,2)</f>
        <v>0</v>
      </c>
      <c r="N255" s="81"/>
      <c r="R255" s="79" t="str">
        <f>IF(AND(($L255&gt;0),ISBLANK(B255)),B255,"NOT")</f>
        <v>NOT</v>
      </c>
      <c r="S255" s="79" t="str">
        <f>IF(AND(($L255&gt;0),ISBLANK(D255)),D255,"NOT")</f>
        <v>NOT</v>
      </c>
      <c r="T255" s="79" t="str">
        <f>IF(AND(($L255&gt;0),ISBLANK(F255)),F255,"NOT")</f>
        <v>NOT</v>
      </c>
      <c r="V255" s="79" t="str">
        <f>LEFT(D255,3)</f>
        <v/>
      </c>
    </row>
    <row r="256" spans="1:22" x14ac:dyDescent="0.2">
      <c r="B256" s="259"/>
      <c r="C256" s="88"/>
      <c r="D256" s="260"/>
      <c r="E256" s="243"/>
      <c r="F256" s="261"/>
      <c r="G256" s="243"/>
      <c r="H256" s="262"/>
      <c r="I256" s="243"/>
      <c r="J256" s="262"/>
      <c r="K256" s="88"/>
      <c r="L256" s="143">
        <f>TRUNC(H256*J256,2)</f>
        <v>0</v>
      </c>
      <c r="N256" s="81"/>
      <c r="R256" s="79" t="str">
        <f>IF(AND(($L256&gt;0),ISBLANK(B256)),B256,"NOT")</f>
        <v>NOT</v>
      </c>
      <c r="S256" s="79" t="str">
        <f>IF(AND(($L256&gt;0),ISBLANK(D256)),D256,"NOT")</f>
        <v>NOT</v>
      </c>
      <c r="T256" s="79" t="str">
        <f>IF(AND(($L256&gt;0),ISBLANK(F256)),F256,"NOT")</f>
        <v>NOT</v>
      </c>
      <c r="V256" s="79" t="str">
        <f>LEFT(D256,3)</f>
        <v/>
      </c>
    </row>
    <row r="257" spans="1:22" x14ac:dyDescent="0.2">
      <c r="B257" s="259"/>
      <c r="C257" s="88"/>
      <c r="D257" s="260"/>
      <c r="E257" s="243"/>
      <c r="F257" s="261"/>
      <c r="G257" s="243"/>
      <c r="H257" s="262"/>
      <c r="I257" s="243"/>
      <c r="J257" s="262"/>
      <c r="K257" s="88"/>
      <c r="L257" s="143">
        <f>TRUNC(H257*J257,2)</f>
        <v>0</v>
      </c>
      <c r="N257" s="81"/>
      <c r="R257" s="79" t="str">
        <f>IF(AND(($L257&gt;0),ISBLANK(B257)),B257,"NOT")</f>
        <v>NOT</v>
      </c>
      <c r="S257" s="79" t="str">
        <f>IF(AND(($L257&gt;0),ISBLANK(D257)),D257,"NOT")</f>
        <v>NOT</v>
      </c>
      <c r="T257" s="79" t="str">
        <f>IF(AND(($L257&gt;0),ISBLANK(F257)),F257,"NOT")</f>
        <v>NOT</v>
      </c>
      <c r="V257" s="79" t="str">
        <f>LEFT(D257,3)</f>
        <v/>
      </c>
    </row>
    <row r="258" spans="1:22" x14ac:dyDescent="0.2">
      <c r="B258" s="259"/>
      <c r="C258" s="88"/>
      <c r="D258" s="260"/>
      <c r="E258" s="243"/>
      <c r="F258" s="261"/>
      <c r="G258" s="243"/>
      <c r="H258" s="262"/>
      <c r="I258" s="243"/>
      <c r="J258" s="262"/>
      <c r="K258" s="88"/>
      <c r="L258" s="143">
        <f>TRUNC(H258*J258,2)</f>
        <v>0</v>
      </c>
      <c r="N258" s="81"/>
      <c r="R258" s="79" t="str">
        <f>IF(AND(($L258&gt;0),ISBLANK(B258)),B258,"NOT")</f>
        <v>NOT</v>
      </c>
      <c r="S258" s="79" t="str">
        <f>IF(AND(($L258&gt;0),ISBLANK(D258)),D258,"NOT")</f>
        <v>NOT</v>
      </c>
      <c r="T258" s="79" t="str">
        <f>IF(AND(($L258&gt;0),ISBLANK(F258)),F258,"NOT")</f>
        <v>NOT</v>
      </c>
      <c r="V258" s="79" t="str">
        <f>LEFT(D258,3)</f>
        <v/>
      </c>
    </row>
    <row r="259" spans="1:22" s="76" customFormat="1" ht="12.75" customHeight="1" x14ac:dyDescent="0.2">
      <c r="A259" s="87"/>
      <c r="B259" s="88"/>
      <c r="C259" s="88"/>
      <c r="D259" s="70"/>
      <c r="E259" s="70"/>
      <c r="F259" s="70"/>
      <c r="G259" s="70"/>
      <c r="H259" s="70"/>
      <c r="I259" s="70"/>
      <c r="J259" s="70"/>
      <c r="K259" s="88"/>
      <c r="L259" s="70"/>
      <c r="M259" s="70"/>
      <c r="N259" s="70"/>
      <c r="O259" s="89"/>
      <c r="V259" s="79"/>
    </row>
    <row r="260" spans="1:22" ht="18" customHeight="1" x14ac:dyDescent="0.2">
      <c r="A260" s="263"/>
      <c r="B260" s="264"/>
      <c r="C260" s="265"/>
      <c r="D260" s="266"/>
      <c r="E260" s="267"/>
      <c r="F260" s="266"/>
      <c r="G260" s="267"/>
      <c r="H260" s="266"/>
      <c r="I260" s="267"/>
      <c r="J260" s="266"/>
      <c r="K260" s="265"/>
      <c r="L260" s="266"/>
      <c r="M260" s="267"/>
      <c r="N260" s="268"/>
    </row>
    <row r="261" spans="1:22" hidden="1" x14ac:dyDescent="0.2"/>
    <row r="262" spans="1:22" ht="25.5" hidden="1" x14ac:dyDescent="0.2">
      <c r="C262" s="44" t="str">
        <f>LEFT(D262,3)</f>
        <v xml:space="preserve">1. </v>
      </c>
      <c r="D262" s="465" t="str">
        <f>CONCATENATE('6. Project Activities'!A10," ",'6. Project Activities'!B10)</f>
        <v>1. Project administration and management</v>
      </c>
      <c r="L262" s="44">
        <f t="shared" ref="L262:L285" si="48">SUMIF($V$11:$V$259,C262,$L$11:$L$259)</f>
        <v>0</v>
      </c>
    </row>
    <row r="263" spans="1:22" hidden="1" x14ac:dyDescent="0.2">
      <c r="C263" s="44" t="str">
        <f t="shared" ref="C263:C285" si="49">LEFT(D263,3)</f>
        <v xml:space="preserve">2. </v>
      </c>
      <c r="D263" s="465" t="str">
        <f>CONCATENATE('6. Project Activities'!A11," ",'6. Project Activities'!B11)</f>
        <v>2. Information and publicity</v>
      </c>
      <c r="L263" s="44">
        <f t="shared" si="48"/>
        <v>0</v>
      </c>
    </row>
    <row r="264" spans="1:22" ht="38.25" hidden="1" x14ac:dyDescent="0.2">
      <c r="C264" s="44" t="str">
        <f t="shared" si="49"/>
        <v xml:space="preserve">3. </v>
      </c>
      <c r="D264" s="465" t="str">
        <f>CONCATENATE('6. Project Activities'!A12," ",'6. Project Activities'!B12)</f>
        <v>3. Activity 3.1: Organisation of project conferences and regular press conferences</v>
      </c>
      <c r="L264" s="44">
        <f t="shared" si="48"/>
        <v>0</v>
      </c>
    </row>
    <row r="265" spans="1:22" ht="38.25" hidden="1" x14ac:dyDescent="0.2">
      <c r="C265" s="44" t="str">
        <f t="shared" si="49"/>
        <v xml:space="preserve">4. </v>
      </c>
      <c r="D265" s="465" t="str">
        <f>CONCATENATE('6. Project Activities'!A13," ",'6. Project Activities'!B13)</f>
        <v>4. Activity 3.2: Creation and regular updating of project website, project presence in Social media</v>
      </c>
      <c r="L265" s="44">
        <f t="shared" si="48"/>
        <v>0</v>
      </c>
    </row>
    <row r="266" spans="1:22" ht="25.5" hidden="1" x14ac:dyDescent="0.2">
      <c r="C266" s="44" t="str">
        <f t="shared" si="49"/>
        <v xml:space="preserve">5. </v>
      </c>
      <c r="D266" s="465" t="str">
        <f>CONCATENATE('6. Project Activities'!A14," ",'6. Project Activities'!B14)</f>
        <v>5. Activity 3.3: Development of multilingual mobile App</v>
      </c>
      <c r="L266" s="44">
        <f t="shared" si="48"/>
        <v>0</v>
      </c>
    </row>
    <row r="267" spans="1:22" ht="38.25" hidden="1" x14ac:dyDescent="0.2">
      <c r="C267" s="44" t="str">
        <f t="shared" si="49"/>
        <v xml:space="preserve">6. </v>
      </c>
      <c r="D267" s="465" t="str">
        <f>CONCATENATE('6. Project Activities'!A15," ",'6. Project Activities'!B15)</f>
        <v>6. Activity 3.4: Organisation of local and cross-border events for cyclists</v>
      </c>
      <c r="L267" s="44">
        <f t="shared" si="48"/>
        <v>0</v>
      </c>
    </row>
    <row r="268" spans="1:22" ht="38.25" hidden="1" x14ac:dyDescent="0.2">
      <c r="C268" s="44" t="str">
        <f t="shared" si="49"/>
        <v xml:space="preserve">7. </v>
      </c>
      <c r="D268" s="465" t="str">
        <f>CONCATENATE('6. Project Activities'!A16," ",'6. Project Activities'!B16)</f>
        <v>7. Activity 3.5: Organisation of Summer Cycling Camp for primary school kids in Croatia</v>
      </c>
      <c r="L268" s="44">
        <f t="shared" si="48"/>
        <v>0</v>
      </c>
    </row>
    <row r="269" spans="1:22" ht="38.25" hidden="1" x14ac:dyDescent="0.2">
      <c r="C269" s="44" t="str">
        <f t="shared" si="49"/>
        <v xml:space="preserve">8. </v>
      </c>
      <c r="D269" s="465" t="str">
        <f>CONCATENATE('6. Project Activities'!A17," ",'6. Project Activities'!B17)</f>
        <v>8. Activity 3.6: Organisation of “Safety in traffic for cyclists” workshops</v>
      </c>
      <c r="L269" s="44">
        <f t="shared" si="48"/>
        <v>0</v>
      </c>
    </row>
    <row r="270" spans="1:22" ht="38.25" hidden="1" x14ac:dyDescent="0.2">
      <c r="C270" s="44" t="str">
        <f t="shared" si="49"/>
        <v xml:space="preserve">9. </v>
      </c>
      <c r="D270" s="465" t="str">
        <f>CONCATENATE('6. Project Activities'!A18," ",'6. Project Activities'!B18)</f>
        <v>9. Activity 4.1: Development of missing sections of the bicycle routes in Ludbreg area</v>
      </c>
      <c r="L270" s="44">
        <f t="shared" si="48"/>
        <v>0</v>
      </c>
    </row>
    <row r="271" spans="1:22" ht="38.25" hidden="1" x14ac:dyDescent="0.2">
      <c r="C271" s="44" t="str">
        <f t="shared" si="49"/>
        <v>10.</v>
      </c>
      <c r="D271" s="465" t="str">
        <f>CONCATENATE('6. Project Activities'!A19," ",'6. Project Activities'!B19)</f>
        <v>10. Activity 4.2: Adaptation and arrangement of the part of a local road Ludbreg</v>
      </c>
      <c r="L271" s="44">
        <f t="shared" si="48"/>
        <v>0</v>
      </c>
    </row>
    <row r="272" spans="1:22" ht="25.5" hidden="1" x14ac:dyDescent="0.2">
      <c r="C272" s="44" t="str">
        <f t="shared" si="49"/>
        <v>11.</v>
      </c>
      <c r="D272" s="465" t="str">
        <f>CONCATENATE('6. Project Activities'!A20," ",'6. Project Activities'!B20)</f>
        <v>11. Activity 4.3: Establishment of Cyclist Centre in Letenye</v>
      </c>
      <c r="L272" s="44">
        <f t="shared" si="48"/>
        <v>0</v>
      </c>
    </row>
    <row r="273" spans="3:12" ht="51" hidden="1" x14ac:dyDescent="0.2">
      <c r="C273" s="44" t="str">
        <f t="shared" si="49"/>
        <v>12.</v>
      </c>
      <c r="D273" s="465" t="str">
        <f>CONCATENATE('6. Project Activities'!A21," ",'6. Project Activities'!B21)</f>
        <v>12. Activity 4.4: Preparation of technical documentation for obtaining a building permit for bike paths" - Draškovec Oporovec</v>
      </c>
      <c r="L273" s="44">
        <f t="shared" si="48"/>
        <v>0</v>
      </c>
    </row>
    <row r="274" spans="3:12" ht="38.25" hidden="1" x14ac:dyDescent="0.2">
      <c r="C274" s="44" t="str">
        <f t="shared" si="49"/>
        <v>13.</v>
      </c>
      <c r="D274" s="465" t="str">
        <f>CONCATENATE('6. Project Activities'!A22," ",'6. Project Activities'!B22)</f>
        <v>13. Activity 4.5: Adaptation/reconstruction of the restplace for cyclist in Oporovec</v>
      </c>
      <c r="L274" s="44">
        <f t="shared" si="48"/>
        <v>0</v>
      </c>
    </row>
    <row r="275" spans="3:12" ht="51" hidden="1" x14ac:dyDescent="0.2">
      <c r="C275" s="44" t="str">
        <f t="shared" si="49"/>
        <v>14.</v>
      </c>
      <c r="D275" s="465" t="str">
        <f>CONCATENATE('6. Project Activities'!A23," ",'6. Project Activities'!B23)</f>
        <v>14. Activity 4.6: Establishment of restplaces, info points and installation of information boards alongside the bicycle routes</v>
      </c>
      <c r="L275" s="44">
        <f t="shared" si="48"/>
        <v>0</v>
      </c>
    </row>
    <row r="276" spans="3:12" hidden="1" x14ac:dyDescent="0.2">
      <c r="C276" s="44" t="str">
        <f t="shared" si="49"/>
        <v>15.</v>
      </c>
      <c r="D276" s="465" t="str">
        <f>CONCATENATE('6. Project Activities'!A24," ",'6. Project Activities'!B24)</f>
        <v xml:space="preserve">15. </v>
      </c>
      <c r="L276" s="44">
        <f t="shared" si="48"/>
        <v>0</v>
      </c>
    </row>
    <row r="277" spans="3:12" hidden="1" x14ac:dyDescent="0.2">
      <c r="C277" s="44" t="str">
        <f t="shared" si="49"/>
        <v>16.</v>
      </c>
      <c r="D277" s="465" t="str">
        <f>CONCATENATE('6. Project Activities'!A25," ",'6. Project Activities'!B25)</f>
        <v xml:space="preserve">16. </v>
      </c>
      <c r="L277" s="44">
        <f t="shared" si="48"/>
        <v>0</v>
      </c>
    </row>
    <row r="278" spans="3:12" hidden="1" x14ac:dyDescent="0.2">
      <c r="C278" s="44" t="str">
        <f t="shared" si="49"/>
        <v>17.</v>
      </c>
      <c r="D278" s="465" t="str">
        <f>CONCATENATE('6. Project Activities'!A26," ",'6. Project Activities'!B26)</f>
        <v xml:space="preserve">17. </v>
      </c>
      <c r="L278" s="44">
        <f t="shared" si="48"/>
        <v>0</v>
      </c>
    </row>
    <row r="279" spans="3:12" hidden="1" x14ac:dyDescent="0.2">
      <c r="C279" s="44" t="str">
        <f t="shared" si="49"/>
        <v>18.</v>
      </c>
      <c r="D279" s="465" t="str">
        <f>CONCATENATE('6. Project Activities'!A27," ",'6. Project Activities'!B27)</f>
        <v xml:space="preserve">18. </v>
      </c>
      <c r="L279" s="44">
        <f t="shared" si="48"/>
        <v>0</v>
      </c>
    </row>
    <row r="280" spans="3:12" hidden="1" x14ac:dyDescent="0.2">
      <c r="C280" s="44" t="str">
        <f t="shared" si="49"/>
        <v>19.</v>
      </c>
      <c r="D280" s="465" t="str">
        <f>CONCATENATE('6. Project Activities'!A28," ",'6. Project Activities'!B28)</f>
        <v xml:space="preserve">19. </v>
      </c>
      <c r="L280" s="44">
        <f t="shared" si="48"/>
        <v>0</v>
      </c>
    </row>
    <row r="281" spans="3:12" hidden="1" x14ac:dyDescent="0.2">
      <c r="C281" s="44" t="str">
        <f t="shared" si="49"/>
        <v>20.</v>
      </c>
      <c r="D281" s="465" t="str">
        <f>CONCATENATE('6. Project Activities'!A29," ",'6. Project Activities'!B29)</f>
        <v xml:space="preserve">20. </v>
      </c>
      <c r="L281" s="44">
        <f t="shared" si="48"/>
        <v>0</v>
      </c>
    </row>
    <row r="282" spans="3:12" hidden="1" x14ac:dyDescent="0.2">
      <c r="C282" s="44" t="str">
        <f t="shared" si="49"/>
        <v>21.</v>
      </c>
      <c r="D282" s="465" t="str">
        <f>CONCATENATE('6. Project Activities'!A30," ",'6. Project Activities'!B30)</f>
        <v xml:space="preserve">21. </v>
      </c>
      <c r="L282" s="44">
        <f t="shared" si="48"/>
        <v>0</v>
      </c>
    </row>
    <row r="283" spans="3:12" hidden="1" x14ac:dyDescent="0.2">
      <c r="C283" s="44" t="str">
        <f t="shared" si="49"/>
        <v>22.</v>
      </c>
      <c r="D283" s="465" t="str">
        <f>CONCATENATE('6. Project Activities'!A31," ",'6. Project Activities'!B31)</f>
        <v xml:space="preserve">22. </v>
      </c>
      <c r="L283" s="44">
        <f t="shared" si="48"/>
        <v>0</v>
      </c>
    </row>
    <row r="284" spans="3:12" hidden="1" x14ac:dyDescent="0.2">
      <c r="C284" s="44" t="str">
        <f t="shared" si="49"/>
        <v>23.</v>
      </c>
      <c r="D284" s="465" t="str">
        <f>CONCATENATE('6. Project Activities'!A32," ",'6. Project Activities'!B32)</f>
        <v xml:space="preserve">23. </v>
      </c>
      <c r="L284" s="44">
        <f t="shared" si="48"/>
        <v>0</v>
      </c>
    </row>
    <row r="285" spans="3:12" hidden="1" x14ac:dyDescent="0.2">
      <c r="C285" s="44" t="str">
        <f t="shared" si="49"/>
        <v>24.</v>
      </c>
      <c r="D285" s="465" t="str">
        <f>CONCATENATE('6. Project Activities'!A33," ",'6. Project Activities'!B33)</f>
        <v xml:space="preserve">24. </v>
      </c>
      <c r="L285" s="44">
        <f t="shared" si="48"/>
        <v>0</v>
      </c>
    </row>
    <row r="286" spans="3:12" x14ac:dyDescent="0.2">
      <c r="C286" s="44"/>
    </row>
    <row r="287" spans="3:12" x14ac:dyDescent="0.2">
      <c r="C287" s="44"/>
    </row>
    <row r="288" spans="3:12" x14ac:dyDescent="0.2">
      <c r="C288" s="44"/>
    </row>
    <row r="289" spans="3:3" x14ac:dyDescent="0.2">
      <c r="C289" s="44"/>
    </row>
    <row r="290" spans="3:3" x14ac:dyDescent="0.2">
      <c r="C290" s="44"/>
    </row>
    <row r="291" spans="3:3" x14ac:dyDescent="0.2">
      <c r="C291" s="44"/>
    </row>
  </sheetData>
  <sheetProtection password="F58B" sheet="1" objects="1" scenarios="1" selectLockedCells="1"/>
  <mergeCells count="60">
    <mergeCell ref="B103:F103"/>
    <mergeCell ref="B105:L105"/>
    <mergeCell ref="B17:L17"/>
    <mergeCell ref="D112:H112"/>
    <mergeCell ref="B18:F18"/>
    <mergeCell ref="B20:L20"/>
    <mergeCell ref="D40:H40"/>
    <mergeCell ref="D42:H42"/>
    <mergeCell ref="D44:H44"/>
    <mergeCell ref="B46:F46"/>
    <mergeCell ref="B48:L48"/>
    <mergeCell ref="D80:H80"/>
    <mergeCell ref="B82:F82"/>
    <mergeCell ref="B84:L84"/>
    <mergeCell ref="D99:H99"/>
    <mergeCell ref="D101:H101"/>
    <mergeCell ref="D62:H62"/>
    <mergeCell ref="B64:F64"/>
    <mergeCell ref="B66:L66"/>
    <mergeCell ref="A1:B1"/>
    <mergeCell ref="D1:N1"/>
    <mergeCell ref="D14:H14"/>
    <mergeCell ref="B15:L15"/>
    <mergeCell ref="D16:H16"/>
    <mergeCell ref="D10:H10"/>
    <mergeCell ref="D3:N3"/>
    <mergeCell ref="D5:N5"/>
    <mergeCell ref="D12:H12"/>
    <mergeCell ref="D8:H8"/>
    <mergeCell ref="B116:L116"/>
    <mergeCell ref="D130:H130"/>
    <mergeCell ref="B114:F114"/>
    <mergeCell ref="B132:F132"/>
    <mergeCell ref="B134:L134"/>
    <mergeCell ref="D148:H148"/>
    <mergeCell ref="B149:L149"/>
    <mergeCell ref="B150:F150"/>
    <mergeCell ref="B152:L152"/>
    <mergeCell ref="D162:H162"/>
    <mergeCell ref="B164:F164"/>
    <mergeCell ref="B166:L166"/>
    <mergeCell ref="D174:H174"/>
    <mergeCell ref="B176:F176"/>
    <mergeCell ref="B178:L178"/>
    <mergeCell ref="D192:H192"/>
    <mergeCell ref="B194:F194"/>
    <mergeCell ref="B196:L196"/>
    <mergeCell ref="D206:H206"/>
    <mergeCell ref="D208:H208"/>
    <mergeCell ref="B210:F210"/>
    <mergeCell ref="D248:H248"/>
    <mergeCell ref="B249:J249"/>
    <mergeCell ref="B250:F250"/>
    <mergeCell ref="B252:L252"/>
    <mergeCell ref="B212:L212"/>
    <mergeCell ref="D226:H226"/>
    <mergeCell ref="F228:H228"/>
    <mergeCell ref="D230:H230"/>
    <mergeCell ref="B232:F232"/>
    <mergeCell ref="B234:L234"/>
  </mergeCells>
  <phoneticPr fontId="3" type="noConversion"/>
  <conditionalFormatting sqref="D16:H16 B18:F18 D62:H62 D44:H44 B64:F64 B46:F46 D80:H80 B82:F82 D112:H112 D101:H101 B114:F114 B103:F103 D130:H130 B132:F132 D148:H148 B150:F150 D162:H162 B164:F164 D174:H174 D192:H192 D208:H208 B210:F210 D248:H248 D230:H230 B250:F250 B232:F232">
    <cfRule type="cellIs" dxfId="170" priority="12" stopIfTrue="1" operator="equal">
      <formula>$R16</formula>
    </cfRule>
  </conditionalFormatting>
  <conditionalFormatting sqref="D12:H12 D99:H99 D228:E228">
    <cfRule type="cellIs" dxfId="169" priority="13" stopIfTrue="1" operator="equal">
      <formula>$Q12</formula>
    </cfRule>
  </conditionalFormatting>
  <conditionalFormatting sqref="B149:L149">
    <cfRule type="cellIs" dxfId="168" priority="16" stopIfTrue="1" operator="equal">
      <formula>$Q$149</formula>
    </cfRule>
  </conditionalFormatting>
  <conditionalFormatting sqref="B17:L17">
    <cfRule type="cellIs" dxfId="167" priority="17" stopIfTrue="1" operator="equal">
      <formula>$Q$17</formula>
    </cfRule>
  </conditionalFormatting>
  <conditionalFormatting sqref="N16">
    <cfRule type="cellIs" dxfId="166" priority="18" stopIfTrue="1" operator="greaterThan">
      <formula>$O$17</formula>
    </cfRule>
  </conditionalFormatting>
  <conditionalFormatting sqref="N148">
    <cfRule type="cellIs" dxfId="165" priority="19" stopIfTrue="1" operator="greaterThan">
      <formula>$O$149</formula>
    </cfRule>
  </conditionalFormatting>
  <conditionalFormatting sqref="N248">
    <cfRule type="cellIs" dxfId="164" priority="20" stopIfTrue="1" operator="greaterThan">
      <formula>$P$248</formula>
    </cfRule>
  </conditionalFormatting>
  <conditionalFormatting sqref="F228:H228">
    <cfRule type="cellIs" dxfId="163" priority="22" stopIfTrue="1" operator="equal">
      <formula>$R$228</formula>
    </cfRule>
  </conditionalFormatting>
  <conditionalFormatting sqref="D206:H206">
    <cfRule type="cellIs" dxfId="162" priority="23" stopIfTrue="1" operator="equal">
      <formula>$Q$206</formula>
    </cfRule>
  </conditionalFormatting>
  <conditionalFormatting sqref="D14:H14">
    <cfRule type="cellIs" dxfId="161" priority="11" stopIfTrue="1" operator="equal">
      <formula>$Q14</formula>
    </cfRule>
  </conditionalFormatting>
  <conditionalFormatting sqref="D42:H42">
    <cfRule type="cellIs" dxfId="160" priority="7" stopIfTrue="1" operator="equal">
      <formula>$Q42</formula>
    </cfRule>
  </conditionalFormatting>
  <conditionalFormatting sqref="B15:L15">
    <cfRule type="cellIs" dxfId="159" priority="6" stopIfTrue="1" operator="equal">
      <formula>$P$15</formula>
    </cfRule>
  </conditionalFormatting>
  <conditionalFormatting sqref="B249:J249">
    <cfRule type="cellIs" dxfId="158" priority="4" stopIfTrue="1" operator="equal">
      <formula>$Q$248</formula>
    </cfRule>
  </conditionalFormatting>
  <conditionalFormatting sqref="B194:F194">
    <cfRule type="cellIs" dxfId="157" priority="3" stopIfTrue="1" operator="equal">
      <formula>$R194</formula>
    </cfRule>
  </conditionalFormatting>
  <conditionalFormatting sqref="B176:F176">
    <cfRule type="cellIs" dxfId="156" priority="2" stopIfTrue="1" operator="equal">
      <formula>$R176</formula>
    </cfRule>
  </conditionalFormatting>
  <conditionalFormatting sqref="D8:H8">
    <cfRule type="cellIs" dxfId="155" priority="1" stopIfTrue="1" operator="equal">
      <formula>O$8</formula>
    </cfRule>
  </conditionalFormatting>
  <dataValidations count="5">
    <dataValidation type="list" allowBlank="1" showInputMessage="1" showErrorMessage="1" sqref="D14:H14">
      <formula1>$V$14:$V$16</formula1>
    </dataValidation>
    <dataValidation type="decimal" operator="greaterThanOrEqual" allowBlank="1" showInputMessage="1" showErrorMessage="1" sqref="H237:H246 H199:H203 J169:J172 H169:H172 J155:J160 H137:H146 H108:H110 J108:J110 H87:H96 J87:J96 H69:H78 J69:J78 H51:H60 J51:J60 J23:J37 H23:H37 J137:J146 H119:H128 H155:H160 J119:J128 H181:H190 J181:J190 H215:H224 J215:J224 J199:J203 J237:J246 H255:H258 J255:J258">
      <formula1>0</formula1>
    </dataValidation>
    <dataValidation type="list" allowBlank="1" showInputMessage="1" showErrorMessage="1" sqref="D199:D203 D255:D258 D237:D246 D215:D224 D108:D110 D87:D96 D69:D78 D23:D37 D51:D60 D119:D128 D137:D146 D155:D160 D169:D172 D181:D190">
      <formula1>$D$262:$D$285</formula1>
    </dataValidation>
    <dataValidation type="decimal" allowBlank="1" showInputMessage="1" showErrorMessage="1" sqref="L260 D260 H260 J260 F260 L230 L232:L233 D233 F233 F235 L235 D235 J235 H232:H233 L247:L248 D247 L250:L251 F247 J247 H247 D251 H235 J232:J233 N236:N246 F251 F253 L253 D253 J253 H250:H251 H253 J250:J251 F227 D227 H227 J227 L194:L195 D195 F195 F197 L197 D197 J197 H194:H195 H197 J194:J195 N198:N203 H191 J191 F191 L191:L192 D191 L164:L165 D165 F165 F167 L167 D167 J167 H164:H165 H167 J164:J165 N168:N172 N154:N160 L111:L112 D111 L114:L115 F111 J111 H111 D115 F115 F117 L117 D117 J117 H114:H115 H117 J114:J115 N118:N128 L130 L132:L133 D133 F133 F135 L135 D135 J135 H132:H133 H135 J132:J133 N107:N110 J103:J104 H106 H103:H104 J106 D106 L106 F106 F104 D104 L103:L104 L101 D97:D98 H97:H98 J97:J98 F97:F98 L97:L98 J82:J83 H85 H82:H83 J85 D85 L85 F85 F83 D83 L82:L83 L80 N68:N78 J64:J65 H67 H64:H65 J67 D67 L67 F67 F65 N50:N60 J46:J47 H49 D65 H61 J61 F61 L64:L65 D61 L61:L62 H46:H47 J49 D49 L49 F49 F47 D47 L46:L47 L44 N86:N96 D41 H41 J41 F41 N254:N258 L16 H18:H19 D11 H11 J11 F11 L11 D19 L18:L19 H21 J18:J19 J21 D21 L21 F21 N136:N146 J150:J151 H153 H150:H151 J153 D153 L153 F153 F151 D151 L150:L151 L148 F19 J176:J177 H179 H176:H177 J179 D179 L179 F179 F177 D177 L176:L177 L174 N180:N190 H204:H205 D204:D205 L204:L205 F204:F205 J204:J205 N214:N224 J210:J211 H213 H225 J225 F225 D225 L225:L227 H210:H211 J213 D213 L213 F213 F211 D211 L210:L211 L208 N22:N37 F38:F39 J38:J39 H38:H39 D38:D39 L38:L39 L41 L162 L14">
      <formula1>0</formula1>
      <formula2>99999999.99</formula2>
    </dataValidation>
    <dataValidation type="whole" allowBlank="1" showInputMessage="1" showErrorMessage="1" sqref="L10">
      <formula1>0</formula1>
      <formula2>3000</formula2>
    </dataValidation>
  </dataValidations>
  <pageMargins left="0.6692913385826772" right="0.15748031496062992" top="0.31496062992125984" bottom="0.31496062992125984" header="0.15748031496062992" footer="0.11811023622047245"/>
  <pageSetup scale="82" fitToHeight="12" orientation="landscape"/>
  <headerFooter>
    <oddFooter xml:space="preserve">&amp;C&amp;"Arial,Italic"&amp;A&amp;R&amp;"Arial,Italic"Page &amp;P of &amp;N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1"/>
  <sheetViews>
    <sheetView workbookViewId="0">
      <selection activeCell="L10" sqref="L10"/>
    </sheetView>
  </sheetViews>
  <sheetFormatPr defaultColWidth="9.140625" defaultRowHeight="12.75" x14ac:dyDescent="0.2"/>
  <cols>
    <col min="1" max="1" width="2.85546875" style="80" customWidth="1"/>
    <col min="2" max="2" width="45.7109375" style="44" customWidth="1"/>
    <col min="3" max="3" width="0.42578125" style="70" customWidth="1"/>
    <col min="4" max="4" width="30.7109375" style="44" customWidth="1"/>
    <col min="5" max="5" width="0.42578125" style="70" customWidth="1"/>
    <col min="6" max="6" width="16.42578125" style="44" customWidth="1"/>
    <col min="7" max="7" width="0.42578125" style="70" customWidth="1"/>
    <col min="8" max="8" width="10.7109375" style="44" customWidth="1"/>
    <col min="9" max="9" width="0.42578125" style="70" customWidth="1"/>
    <col min="10" max="10" width="15" style="44" customWidth="1"/>
    <col min="11" max="11" width="0.42578125" style="70" customWidth="1"/>
    <col min="12" max="12" width="13.7109375" style="44" customWidth="1"/>
    <col min="13" max="13" width="0.42578125" style="70" customWidth="1"/>
    <col min="14" max="14" width="9" style="44" customWidth="1"/>
    <col min="15" max="15" width="34.28515625" style="85" hidden="1" customWidth="1"/>
    <col min="16" max="16" width="9.140625" style="79" hidden="1" customWidth="1"/>
    <col min="17" max="17" width="15.42578125" style="79" hidden="1" customWidth="1"/>
    <col min="18" max="22" width="9.140625" style="79" hidden="1" customWidth="1"/>
    <col min="23" max="16384" width="9.140625" style="79"/>
  </cols>
  <sheetData>
    <row r="1" spans="1:29" ht="22.5" customHeight="1" x14ac:dyDescent="0.2">
      <c r="A1" s="738" t="s">
        <v>333</v>
      </c>
      <c r="B1" s="739"/>
      <c r="C1" s="256"/>
      <c r="D1" s="740" t="str">
        <f>CONCATENATE("B6 - ",P5)</f>
        <v xml:space="preserve">B6 - </v>
      </c>
      <c r="E1" s="741"/>
      <c r="F1" s="741"/>
      <c r="G1" s="741"/>
      <c r="H1" s="741"/>
      <c r="I1" s="741"/>
      <c r="J1" s="741"/>
      <c r="K1" s="741"/>
      <c r="L1" s="741"/>
      <c r="M1" s="741"/>
      <c r="N1" s="741"/>
      <c r="R1" s="79" t="s">
        <v>167</v>
      </c>
      <c r="S1" s="79" t="s">
        <v>167</v>
      </c>
      <c r="T1" s="79" t="s">
        <v>167</v>
      </c>
    </row>
    <row r="2" spans="1:29" x14ac:dyDescent="0.2">
      <c r="C2" s="44"/>
      <c r="E2" s="44"/>
      <c r="G2" s="44"/>
      <c r="I2" s="44"/>
      <c r="K2" s="44"/>
      <c r="M2" s="44"/>
      <c r="O2" s="44"/>
      <c r="P2" s="44"/>
      <c r="Q2" s="44"/>
      <c r="R2" s="44"/>
      <c r="S2" s="44"/>
      <c r="T2" s="44"/>
      <c r="U2" s="44"/>
      <c r="V2" s="44"/>
      <c r="W2" s="44"/>
      <c r="X2" s="44"/>
      <c r="Y2" s="44"/>
      <c r="Z2" s="44"/>
      <c r="AA2" s="44"/>
      <c r="AB2" s="44"/>
      <c r="AC2" s="44"/>
    </row>
    <row r="3" spans="1:29" x14ac:dyDescent="0.2">
      <c r="B3" s="101" t="s">
        <v>139</v>
      </c>
      <c r="C3" s="44"/>
      <c r="D3" s="712" t="str">
        <f>T('1. General Data'!C14:M14)</f>
        <v>Happy Bike</v>
      </c>
      <c r="E3" s="713"/>
      <c r="F3" s="713"/>
      <c r="G3" s="713"/>
      <c r="H3" s="713"/>
      <c r="I3" s="713"/>
      <c r="J3" s="713"/>
      <c r="K3" s="713"/>
      <c r="L3" s="713"/>
      <c r="M3" s="713"/>
      <c r="N3" s="714"/>
      <c r="O3" s="44"/>
      <c r="P3" s="44"/>
      <c r="Q3" s="44"/>
      <c r="R3" s="44"/>
      <c r="S3" s="44"/>
      <c r="T3" s="44"/>
      <c r="U3" s="44"/>
      <c r="V3" s="44"/>
      <c r="W3" s="44"/>
      <c r="X3" s="44"/>
      <c r="Y3" s="44"/>
      <c r="Z3" s="44"/>
      <c r="AA3" s="44"/>
      <c r="AB3" s="44"/>
      <c r="AC3" s="44"/>
    </row>
    <row r="4" spans="1:29" ht="6" customHeight="1" x14ac:dyDescent="0.2">
      <c r="C4" s="44"/>
      <c r="E4" s="44"/>
      <c r="G4" s="44"/>
      <c r="I4" s="44"/>
      <c r="K4" s="44"/>
      <c r="M4" s="44"/>
      <c r="O4" s="44"/>
      <c r="P4" s="44"/>
      <c r="Q4" s="44"/>
      <c r="R4" s="44"/>
      <c r="S4" s="44"/>
      <c r="T4" s="44"/>
      <c r="U4" s="44"/>
      <c r="V4" s="44"/>
      <c r="W4" s="44"/>
      <c r="X4" s="44"/>
      <c r="Y4" s="44"/>
      <c r="Z4" s="44"/>
      <c r="AA4" s="44"/>
      <c r="AB4" s="44"/>
      <c r="AC4" s="44"/>
    </row>
    <row r="5" spans="1:29" x14ac:dyDescent="0.2">
      <c r="B5" s="101" t="s">
        <v>138</v>
      </c>
      <c r="C5" s="44"/>
      <c r="D5" s="712" t="str">
        <f>T(LEFT('2. LB data'!C5,80))</f>
        <v>Letenye Város Önkormányzata</v>
      </c>
      <c r="E5" s="713"/>
      <c r="F5" s="713"/>
      <c r="G5" s="713"/>
      <c r="H5" s="713"/>
      <c r="I5" s="713"/>
      <c r="J5" s="713"/>
      <c r="K5" s="713"/>
      <c r="L5" s="713"/>
      <c r="M5" s="713"/>
      <c r="N5" s="714"/>
      <c r="O5" s="44"/>
      <c r="P5" s="236" t="str">
        <f>LEFT('2. B6 data'!C5,80)</f>
        <v/>
      </c>
      <c r="Q5" s="44"/>
      <c r="R5" s="44"/>
      <c r="S5" s="44"/>
      <c r="T5" s="44"/>
      <c r="U5" s="44"/>
      <c r="V5" s="44"/>
      <c r="W5" s="44"/>
      <c r="X5" s="44"/>
      <c r="Y5" s="44"/>
      <c r="Z5" s="44"/>
      <c r="AA5" s="44"/>
      <c r="AB5" s="44"/>
      <c r="AC5" s="44"/>
    </row>
    <row r="6" spans="1:29" x14ac:dyDescent="0.2">
      <c r="B6" s="152"/>
      <c r="D6" s="152"/>
      <c r="F6" s="152"/>
      <c r="H6" s="152"/>
      <c r="J6" s="152"/>
      <c r="L6" s="152"/>
    </row>
    <row r="7" spans="1:29" x14ac:dyDescent="0.2">
      <c r="B7" s="152"/>
      <c r="D7" s="152"/>
      <c r="F7" s="152"/>
      <c r="H7" s="152"/>
      <c r="J7" s="152"/>
      <c r="L7" s="152"/>
    </row>
    <row r="8" spans="1:29" ht="28.5" customHeight="1" x14ac:dyDescent="0.2">
      <c r="A8" s="269" t="s">
        <v>30</v>
      </c>
      <c r="B8" s="289" t="s">
        <v>39</v>
      </c>
      <c r="C8" s="281"/>
      <c r="D8" s="767" t="s">
        <v>652</v>
      </c>
      <c r="E8" s="800"/>
      <c r="F8" s="800"/>
      <c r="G8" s="800"/>
      <c r="H8" s="801"/>
      <c r="I8" s="281"/>
      <c r="J8" s="289" t="s">
        <v>18</v>
      </c>
      <c r="K8" s="282"/>
      <c r="L8" s="284">
        <f>L10+L12+L40+L42+L99+L206+L228</f>
        <v>0</v>
      </c>
      <c r="M8" s="283"/>
      <c r="N8" s="290">
        <f>IF(L$8=0,0%,L8/L$8)</f>
        <v>0</v>
      </c>
      <c r="O8" s="85">
        <f>IF(O10&gt;0,D8,0)</f>
        <v>0</v>
      </c>
      <c r="P8" s="231"/>
      <c r="Q8" s="231" t="str">
        <f>IF(AND(Q10=P8,Q17=P8,Q149=P8,Q248=P8)," ",D8)</f>
        <v xml:space="preserve"> </v>
      </c>
    </row>
    <row r="9" spans="1:29" s="76" customFormat="1" ht="3" customHeight="1" x14ac:dyDescent="0.2">
      <c r="A9" s="87"/>
      <c r="B9" s="88"/>
      <c r="C9" s="88"/>
      <c r="D9" s="70"/>
      <c r="E9" s="70"/>
      <c r="F9" s="70"/>
      <c r="G9" s="70"/>
      <c r="H9" s="70"/>
      <c r="I9" s="70"/>
      <c r="J9" s="70"/>
      <c r="K9" s="88"/>
      <c r="L9" s="281"/>
      <c r="M9" s="70"/>
      <c r="N9" s="70"/>
      <c r="O9" s="89"/>
    </row>
    <row r="10" spans="1:29" ht="27" customHeight="1" x14ac:dyDescent="0.2">
      <c r="A10" s="247">
        <v>1</v>
      </c>
      <c r="B10" s="248" t="s">
        <v>60</v>
      </c>
      <c r="C10" s="249"/>
      <c r="D10" s="764" t="s">
        <v>280</v>
      </c>
      <c r="E10" s="765"/>
      <c r="F10" s="765"/>
      <c r="G10" s="765"/>
      <c r="H10" s="766"/>
      <c r="I10" s="250"/>
      <c r="J10" s="251" t="s">
        <v>18</v>
      </c>
      <c r="K10" s="249"/>
      <c r="L10" s="357">
        <v>0</v>
      </c>
      <c r="M10" s="287"/>
      <c r="N10" s="288">
        <f>IF(L10=0,0%,L10/L$8)</f>
        <v>0</v>
      </c>
      <c r="O10" s="497">
        <f>SUM(O11:O260)</f>
        <v>0</v>
      </c>
      <c r="P10" s="231"/>
      <c r="Q10" s="231" t="str">
        <f>IF(N10&gt;P10,D10,"")</f>
        <v/>
      </c>
    </row>
    <row r="11" spans="1:29" x14ac:dyDescent="0.2">
      <c r="B11" s="104"/>
      <c r="C11" s="88"/>
      <c r="D11" s="81"/>
      <c r="F11" s="81"/>
      <c r="H11" s="81"/>
      <c r="J11" s="81"/>
      <c r="K11" s="88"/>
      <c r="L11" s="81"/>
      <c r="N11" s="227"/>
    </row>
    <row r="12" spans="1:29" ht="27" customHeight="1" x14ac:dyDescent="0.2">
      <c r="A12" s="247">
        <v>2</v>
      </c>
      <c r="B12" s="248" t="s">
        <v>285</v>
      </c>
      <c r="C12" s="249"/>
      <c r="D12" s="770" t="str">
        <f>IF(AND(L14&gt;0,L16&gt;0),"Calculation of staff costs should be either on flat rate or on real cost basis (both options cannot be used together)!"," ")</f>
        <v xml:space="preserve"> </v>
      </c>
      <c r="E12" s="771"/>
      <c r="F12" s="771"/>
      <c r="G12" s="771"/>
      <c r="H12" s="772"/>
      <c r="I12" s="250"/>
      <c r="J12" s="251" t="s">
        <v>18</v>
      </c>
      <c r="K12" s="249"/>
      <c r="L12" s="252">
        <f>IF(L14&gt;0,L14,L16)</f>
        <v>0</v>
      </c>
      <c r="M12" s="250"/>
      <c r="N12" s="253">
        <f>IF(L12=0,0%,L12/L$8)</f>
        <v>0</v>
      </c>
      <c r="O12" s="495">
        <f>IF(LEN(D12)&gt;1,1,0)</f>
        <v>0</v>
      </c>
      <c r="P12" s="95"/>
    </row>
    <row r="13" spans="1:29" s="76" customFormat="1" ht="7.5" customHeight="1" x14ac:dyDescent="0.2">
      <c r="A13" s="87"/>
      <c r="B13" s="88"/>
      <c r="C13" s="88"/>
      <c r="D13" s="70"/>
      <c r="E13" s="70"/>
      <c r="F13" s="70"/>
      <c r="G13" s="70"/>
      <c r="H13" s="70"/>
      <c r="I13" s="70"/>
      <c r="J13" s="70"/>
      <c r="K13" s="88"/>
      <c r="L13" s="70"/>
      <c r="M13" s="70"/>
      <c r="N13" s="70"/>
      <c r="O13" s="89"/>
      <c r="V13" s="79"/>
    </row>
    <row r="14" spans="1:29" ht="25.5" x14ac:dyDescent="0.2">
      <c r="A14" s="347"/>
      <c r="B14" s="348" t="s">
        <v>313</v>
      </c>
      <c r="C14" s="345"/>
      <c r="D14" s="777" t="s">
        <v>282</v>
      </c>
      <c r="E14" s="778"/>
      <c r="F14" s="778"/>
      <c r="G14" s="778"/>
      <c r="H14" s="779"/>
      <c r="I14" s="346"/>
      <c r="J14" s="349" t="s">
        <v>18</v>
      </c>
      <c r="K14" s="88"/>
      <c r="L14" s="156">
        <f>FLOOR(IF(D14=V15,IF((L228&gt;0),IF((L99+L208+L228)*0.1&gt;P14,P14,(L99+L208+L228)*0.1),IF((L99+L208+L228)*0.2&gt;P14,P14,(L99+L208+L228)*0.2)),0),0.01)</f>
        <v>0</v>
      </c>
      <c r="M14" s="246"/>
      <c r="N14" s="147">
        <f>IF(L14=0,0%,L14/L$8)</f>
        <v>0</v>
      </c>
      <c r="O14" s="353"/>
      <c r="P14" s="356">
        <v>100000</v>
      </c>
      <c r="Q14" s="231" t="str">
        <f>IF(L14&gt;P14,D14,"")</f>
        <v/>
      </c>
      <c r="R14" s="79" t="e">
        <f>IF(AND(R20="NOT",R21="NOT",R22="NOT",R23="NOT",R24="NOT",R25="NOT",S20="NOT",S21="NOT",S22="NOT",S23="NOT",S24="NOT",S25="NOT",T20="NOT",T21="NOT",T22="NOT",T23="NOT",T24="NOT",T25="NOT",#REF!="NOT"),"NOT",D14)</f>
        <v>#REF!</v>
      </c>
      <c r="V14" s="79" t="s">
        <v>282</v>
      </c>
    </row>
    <row r="15" spans="1:29" s="76" customFormat="1" ht="27" customHeight="1" x14ac:dyDescent="0.2">
      <c r="A15" s="87"/>
      <c r="B15" s="780" t="s">
        <v>599</v>
      </c>
      <c r="C15" s="781"/>
      <c r="D15" s="781"/>
      <c r="E15" s="781"/>
      <c r="F15" s="781"/>
      <c r="G15" s="781"/>
      <c r="H15" s="781"/>
      <c r="I15" s="781"/>
      <c r="J15" s="781"/>
      <c r="K15" s="781"/>
      <c r="L15" s="781"/>
      <c r="M15" s="70"/>
      <c r="N15" s="70"/>
      <c r="O15" s="353"/>
      <c r="P15" s="354"/>
      <c r="Q15" s="355"/>
      <c r="V15" s="79" t="s">
        <v>644</v>
      </c>
    </row>
    <row r="16" spans="1:29" ht="25.5" customHeight="1" x14ac:dyDescent="0.2">
      <c r="A16" s="347"/>
      <c r="B16" s="348" t="s">
        <v>281</v>
      </c>
      <c r="C16" s="345"/>
      <c r="D16" s="773" t="s">
        <v>166</v>
      </c>
      <c r="E16" s="774"/>
      <c r="F16" s="774"/>
      <c r="G16" s="774"/>
      <c r="H16" s="775"/>
      <c r="I16" s="346"/>
      <c r="J16" s="349" t="s">
        <v>18</v>
      </c>
      <c r="K16" s="88"/>
      <c r="L16" s="156">
        <f>SUM(L23:L37)</f>
        <v>0</v>
      </c>
      <c r="M16" s="246"/>
      <c r="N16" s="147">
        <f>IF(L16=0,0%,L16/L$8)</f>
        <v>0</v>
      </c>
      <c r="O16" s="495">
        <f>IF(LEN(R16)&gt;3,1,0)</f>
        <v>0</v>
      </c>
      <c r="R16" s="494" t="str">
        <f>IF(AND(R22="NOT",S22="NOT",T22="NOT",R18="NOT"),"NOT",D16)</f>
        <v>NOT</v>
      </c>
      <c r="V16" s="79" t="s">
        <v>283</v>
      </c>
    </row>
    <row r="17" spans="1:22" s="76" customFormat="1" ht="15" customHeight="1" x14ac:dyDescent="0.2">
      <c r="A17" s="87"/>
      <c r="B17" s="752"/>
      <c r="C17" s="776"/>
      <c r="D17" s="776"/>
      <c r="E17" s="776"/>
      <c r="F17" s="776"/>
      <c r="G17" s="776"/>
      <c r="H17" s="776"/>
      <c r="I17" s="776"/>
      <c r="J17" s="776"/>
      <c r="K17" s="776"/>
      <c r="L17" s="776"/>
      <c r="M17" s="70"/>
      <c r="N17" s="70"/>
      <c r="O17" s="353"/>
      <c r="P17" s="271"/>
      <c r="Q17" s="231"/>
      <c r="V17" s="79"/>
    </row>
    <row r="18" spans="1:22" x14ac:dyDescent="0.2">
      <c r="B18" s="742" t="s">
        <v>84</v>
      </c>
      <c r="C18" s="743"/>
      <c r="D18" s="743"/>
      <c r="E18" s="743"/>
      <c r="F18" s="743"/>
      <c r="H18" s="81"/>
      <c r="J18" s="81"/>
      <c r="K18" s="88"/>
      <c r="L18" s="81"/>
      <c r="N18" s="227"/>
      <c r="R18" s="494" t="str">
        <f>IF(AND(($L16&gt;0),ISBLANK(B20)),B18,"NOT")</f>
        <v>NOT</v>
      </c>
    </row>
    <row r="19" spans="1:22" ht="3" customHeight="1" x14ac:dyDescent="0.2">
      <c r="B19" s="104"/>
      <c r="C19" s="88"/>
      <c r="D19" s="81"/>
      <c r="F19" s="81"/>
      <c r="H19" s="81"/>
      <c r="J19" s="81"/>
      <c r="K19" s="88"/>
      <c r="L19" s="81"/>
      <c r="N19" s="227"/>
    </row>
    <row r="20" spans="1:22" ht="81" customHeight="1" x14ac:dyDescent="0.2">
      <c r="B20" s="744"/>
      <c r="C20" s="745"/>
      <c r="D20" s="745"/>
      <c r="E20" s="745"/>
      <c r="F20" s="745"/>
      <c r="G20" s="745"/>
      <c r="H20" s="745"/>
      <c r="I20" s="745"/>
      <c r="J20" s="745"/>
      <c r="K20" s="745"/>
      <c r="L20" s="746"/>
      <c r="M20" s="70" t="s">
        <v>19</v>
      </c>
      <c r="N20" s="227"/>
    </row>
    <row r="21" spans="1:22" ht="3.75" customHeight="1" x14ac:dyDescent="0.2">
      <c r="B21" s="104"/>
      <c r="C21" s="88"/>
      <c r="D21" s="81"/>
      <c r="F21" s="81"/>
      <c r="H21" s="81"/>
      <c r="J21" s="81"/>
      <c r="K21" s="88"/>
      <c r="L21" s="81"/>
      <c r="N21" s="227"/>
    </row>
    <row r="22" spans="1:22" ht="38.25" x14ac:dyDescent="0.2">
      <c r="B22" s="244" t="s">
        <v>201</v>
      </c>
      <c r="C22" s="88"/>
      <c r="D22" s="244" t="s">
        <v>580</v>
      </c>
      <c r="F22" s="244" t="s">
        <v>205</v>
      </c>
      <c r="H22" s="244" t="s">
        <v>16</v>
      </c>
      <c r="J22" s="244" t="s">
        <v>15</v>
      </c>
      <c r="K22" s="245"/>
      <c r="L22" s="103" t="s">
        <v>141</v>
      </c>
      <c r="N22" s="81"/>
      <c r="R22" s="496" t="str">
        <f>IF(AND(R23="NOT",R24="NOT",R25="NOT",R26="NOT",R27="NOT",R28="NOT",R29="NOT",R30="NOT",R31="NOT",R32="NOT",R33="NOT",R34="NOT",R35="NOT",R36="NOT",R37="NOT"),"NOT",1)</f>
        <v>NOT</v>
      </c>
      <c r="S22" s="496" t="str">
        <f>IF(AND(S23="NOT",S24="NOT",S25="NOT",S26="NOT",S27="NOT",S28="NOT",S29="NOT",S30="NOT",S31="NOT",S32="NOT",S33="NOT",S34="NOT",S35="NOT",S36="NOT",S37="NOT"),"NOT",1)</f>
        <v>NOT</v>
      </c>
      <c r="T22" s="496" t="str">
        <f>IF(AND(T23="NOT",T24="NOT",T25="NOT",T26="NOT",T27="NOT",T28="NOT",T29="NOT",T30="NOT",T31="NOT",T32="NOT",T33="NOT",T34="NOT",T35="NOT",T36="NOT",T37="NOT"),"NOT",1)</f>
        <v>NOT</v>
      </c>
    </row>
    <row r="23" spans="1:22" x14ac:dyDescent="0.2">
      <c r="B23" s="259"/>
      <c r="C23" s="88"/>
      <c r="D23" s="260"/>
      <c r="E23" s="243"/>
      <c r="F23" s="261" t="s">
        <v>85</v>
      </c>
      <c r="G23" s="243"/>
      <c r="H23" s="262"/>
      <c r="I23" s="243"/>
      <c r="J23" s="262"/>
      <c r="K23" s="88"/>
      <c r="L23" s="143">
        <f t="shared" ref="L23:L37" si="0">TRUNC(H23*J23,2)</f>
        <v>0</v>
      </c>
      <c r="N23" s="81"/>
      <c r="R23" s="79" t="str">
        <f t="shared" ref="R23:R37" si="1">IF(AND(($L23&gt;0),ISBLANK(B23)),B23,"NOT")</f>
        <v>NOT</v>
      </c>
      <c r="S23" s="79" t="str">
        <f t="shared" ref="S23:S37" si="2">IF(AND(($L23&gt;0),ISBLANK(D23)),D23,"NOT")</f>
        <v>NOT</v>
      </c>
      <c r="T23" s="79" t="str">
        <f t="shared" ref="T23:T37" si="3">IF(AND(($L23&gt;0),ISBLANK(F23)),F23,"NOT")</f>
        <v>NOT</v>
      </c>
      <c r="V23" s="79" t="str">
        <f>LEFT(D23,3)</f>
        <v/>
      </c>
    </row>
    <row r="24" spans="1:22" x14ac:dyDescent="0.2">
      <c r="B24" s="259"/>
      <c r="C24" s="88"/>
      <c r="D24" s="260"/>
      <c r="E24" s="243"/>
      <c r="F24" s="261" t="s">
        <v>85</v>
      </c>
      <c r="G24" s="243"/>
      <c r="H24" s="262"/>
      <c r="I24" s="243"/>
      <c r="J24" s="262"/>
      <c r="K24" s="88"/>
      <c r="L24" s="143">
        <f t="shared" si="0"/>
        <v>0</v>
      </c>
      <c r="N24" s="81"/>
      <c r="R24" s="79" t="str">
        <f t="shared" si="1"/>
        <v>NOT</v>
      </c>
      <c r="S24" s="79" t="str">
        <f t="shared" si="2"/>
        <v>NOT</v>
      </c>
      <c r="T24" s="79" t="str">
        <f t="shared" si="3"/>
        <v>NOT</v>
      </c>
      <c r="V24" s="79" t="str">
        <f t="shared" ref="V24:V78" si="4">LEFT(D24,3)</f>
        <v/>
      </c>
    </row>
    <row r="25" spans="1:22" x14ac:dyDescent="0.2">
      <c r="B25" s="259"/>
      <c r="C25" s="88"/>
      <c r="D25" s="260"/>
      <c r="E25" s="243"/>
      <c r="F25" s="261" t="s">
        <v>85</v>
      </c>
      <c r="G25" s="243"/>
      <c r="H25" s="262"/>
      <c r="I25" s="243"/>
      <c r="J25" s="262"/>
      <c r="K25" s="88"/>
      <c r="L25" s="143">
        <f t="shared" si="0"/>
        <v>0</v>
      </c>
      <c r="N25" s="81"/>
      <c r="R25" s="79" t="str">
        <f t="shared" si="1"/>
        <v>NOT</v>
      </c>
      <c r="S25" s="79" t="str">
        <f t="shared" si="2"/>
        <v>NOT</v>
      </c>
      <c r="T25" s="79" t="str">
        <f t="shared" si="3"/>
        <v>NOT</v>
      </c>
      <c r="V25" s="79" t="str">
        <f t="shared" si="4"/>
        <v/>
      </c>
    </row>
    <row r="26" spans="1:22" x14ac:dyDescent="0.2">
      <c r="B26" s="259"/>
      <c r="C26" s="88"/>
      <c r="D26" s="260"/>
      <c r="E26" s="243"/>
      <c r="F26" s="261" t="s">
        <v>85</v>
      </c>
      <c r="G26" s="243"/>
      <c r="H26" s="262"/>
      <c r="I26" s="243"/>
      <c r="J26" s="262"/>
      <c r="K26" s="88"/>
      <c r="L26" s="143">
        <f t="shared" si="0"/>
        <v>0</v>
      </c>
      <c r="N26" s="81"/>
      <c r="R26" s="79" t="str">
        <f t="shared" si="1"/>
        <v>NOT</v>
      </c>
      <c r="S26" s="79" t="str">
        <f t="shared" si="2"/>
        <v>NOT</v>
      </c>
      <c r="T26" s="79" t="str">
        <f t="shared" si="3"/>
        <v>NOT</v>
      </c>
      <c r="V26" s="79" t="str">
        <f t="shared" si="4"/>
        <v/>
      </c>
    </row>
    <row r="27" spans="1:22" x14ac:dyDescent="0.2">
      <c r="B27" s="259"/>
      <c r="C27" s="88"/>
      <c r="D27" s="260"/>
      <c r="E27" s="243"/>
      <c r="F27" s="261" t="s">
        <v>85</v>
      </c>
      <c r="G27" s="243"/>
      <c r="H27" s="262"/>
      <c r="I27" s="243"/>
      <c r="J27" s="262"/>
      <c r="K27" s="88"/>
      <c r="L27" s="143">
        <f t="shared" si="0"/>
        <v>0</v>
      </c>
      <c r="N27" s="81"/>
      <c r="R27" s="79" t="str">
        <f t="shared" si="1"/>
        <v>NOT</v>
      </c>
      <c r="S27" s="79" t="str">
        <f t="shared" si="2"/>
        <v>NOT</v>
      </c>
      <c r="T27" s="79" t="str">
        <f t="shared" si="3"/>
        <v>NOT</v>
      </c>
      <c r="V27" s="79" t="str">
        <f t="shared" si="4"/>
        <v/>
      </c>
    </row>
    <row r="28" spans="1:22" x14ac:dyDescent="0.2">
      <c r="B28" s="259"/>
      <c r="C28" s="88"/>
      <c r="D28" s="260"/>
      <c r="E28" s="243"/>
      <c r="F28" s="261" t="s">
        <v>85</v>
      </c>
      <c r="G28" s="243"/>
      <c r="H28" s="262"/>
      <c r="I28" s="243"/>
      <c r="J28" s="262"/>
      <c r="K28" s="88"/>
      <c r="L28" s="143">
        <f t="shared" si="0"/>
        <v>0</v>
      </c>
      <c r="N28" s="81"/>
      <c r="R28" s="79" t="str">
        <f t="shared" si="1"/>
        <v>NOT</v>
      </c>
      <c r="S28" s="79" t="str">
        <f t="shared" si="2"/>
        <v>NOT</v>
      </c>
      <c r="T28" s="79" t="str">
        <f t="shared" si="3"/>
        <v>NOT</v>
      </c>
      <c r="V28" s="79" t="str">
        <f t="shared" si="4"/>
        <v/>
      </c>
    </row>
    <row r="29" spans="1:22" x14ac:dyDescent="0.2">
      <c r="B29" s="259"/>
      <c r="C29" s="88"/>
      <c r="D29" s="260"/>
      <c r="E29" s="243"/>
      <c r="F29" s="261" t="s">
        <v>85</v>
      </c>
      <c r="G29" s="243"/>
      <c r="H29" s="262"/>
      <c r="I29" s="243"/>
      <c r="J29" s="262"/>
      <c r="K29" s="88"/>
      <c r="L29" s="143">
        <f t="shared" si="0"/>
        <v>0</v>
      </c>
      <c r="N29" s="81"/>
      <c r="R29" s="79" t="str">
        <f t="shared" si="1"/>
        <v>NOT</v>
      </c>
      <c r="S29" s="79" t="str">
        <f t="shared" si="2"/>
        <v>NOT</v>
      </c>
      <c r="T29" s="79" t="str">
        <f t="shared" si="3"/>
        <v>NOT</v>
      </c>
      <c r="V29" s="79" t="str">
        <f t="shared" si="4"/>
        <v/>
      </c>
    </row>
    <row r="30" spans="1:22" x14ac:dyDescent="0.2">
      <c r="B30" s="259"/>
      <c r="C30" s="88"/>
      <c r="D30" s="260"/>
      <c r="E30" s="243"/>
      <c r="F30" s="261" t="s">
        <v>85</v>
      </c>
      <c r="G30" s="243"/>
      <c r="H30" s="262"/>
      <c r="I30" s="243"/>
      <c r="J30" s="262"/>
      <c r="K30" s="88"/>
      <c r="L30" s="143">
        <f t="shared" si="0"/>
        <v>0</v>
      </c>
      <c r="N30" s="81"/>
      <c r="R30" s="79" t="str">
        <f t="shared" si="1"/>
        <v>NOT</v>
      </c>
      <c r="S30" s="79" t="str">
        <f t="shared" si="2"/>
        <v>NOT</v>
      </c>
      <c r="T30" s="79" t="str">
        <f t="shared" si="3"/>
        <v>NOT</v>
      </c>
      <c r="V30" s="79" t="str">
        <f t="shared" si="4"/>
        <v/>
      </c>
    </row>
    <row r="31" spans="1:22" x14ac:dyDescent="0.2">
      <c r="B31" s="259"/>
      <c r="C31" s="88"/>
      <c r="D31" s="260"/>
      <c r="E31" s="243"/>
      <c r="F31" s="261" t="s">
        <v>85</v>
      </c>
      <c r="G31" s="243"/>
      <c r="H31" s="262"/>
      <c r="I31" s="243"/>
      <c r="J31" s="262"/>
      <c r="K31" s="88"/>
      <c r="L31" s="143">
        <f t="shared" si="0"/>
        <v>0</v>
      </c>
      <c r="N31" s="81"/>
      <c r="R31" s="79" t="str">
        <f t="shared" si="1"/>
        <v>NOT</v>
      </c>
      <c r="S31" s="79" t="str">
        <f t="shared" si="2"/>
        <v>NOT</v>
      </c>
      <c r="T31" s="79" t="str">
        <f t="shared" si="3"/>
        <v>NOT</v>
      </c>
      <c r="V31" s="79" t="str">
        <f t="shared" si="4"/>
        <v/>
      </c>
    </row>
    <row r="32" spans="1:22" x14ac:dyDescent="0.2">
      <c r="B32" s="259"/>
      <c r="C32" s="88"/>
      <c r="D32" s="260"/>
      <c r="E32" s="243"/>
      <c r="F32" s="261" t="s">
        <v>85</v>
      </c>
      <c r="G32" s="243"/>
      <c r="H32" s="262"/>
      <c r="I32" s="243"/>
      <c r="J32" s="262"/>
      <c r="K32" s="88"/>
      <c r="L32" s="143">
        <f t="shared" si="0"/>
        <v>0</v>
      </c>
      <c r="N32" s="81"/>
      <c r="R32" s="79" t="str">
        <f t="shared" si="1"/>
        <v>NOT</v>
      </c>
      <c r="S32" s="79" t="str">
        <f t="shared" si="2"/>
        <v>NOT</v>
      </c>
      <c r="T32" s="79" t="str">
        <f t="shared" si="3"/>
        <v>NOT</v>
      </c>
      <c r="V32" s="79" t="str">
        <f t="shared" si="4"/>
        <v/>
      </c>
    </row>
    <row r="33" spans="1:22" x14ac:dyDescent="0.2">
      <c r="B33" s="259"/>
      <c r="C33" s="88"/>
      <c r="D33" s="260"/>
      <c r="E33" s="243"/>
      <c r="F33" s="261" t="s">
        <v>85</v>
      </c>
      <c r="G33" s="243"/>
      <c r="H33" s="262"/>
      <c r="I33" s="243"/>
      <c r="J33" s="262"/>
      <c r="K33" s="88"/>
      <c r="L33" s="143">
        <f t="shared" si="0"/>
        <v>0</v>
      </c>
      <c r="N33" s="81"/>
      <c r="R33" s="79" t="str">
        <f t="shared" si="1"/>
        <v>NOT</v>
      </c>
      <c r="S33" s="79" t="str">
        <f t="shared" si="2"/>
        <v>NOT</v>
      </c>
      <c r="T33" s="79" t="str">
        <f t="shared" si="3"/>
        <v>NOT</v>
      </c>
      <c r="V33" s="79" t="str">
        <f t="shared" si="4"/>
        <v/>
      </c>
    </row>
    <row r="34" spans="1:22" x14ac:dyDescent="0.2">
      <c r="B34" s="259"/>
      <c r="C34" s="88"/>
      <c r="D34" s="260"/>
      <c r="E34" s="243"/>
      <c r="F34" s="261" t="s">
        <v>85</v>
      </c>
      <c r="G34" s="243"/>
      <c r="H34" s="262"/>
      <c r="I34" s="243"/>
      <c r="J34" s="262"/>
      <c r="K34" s="88"/>
      <c r="L34" s="143">
        <f t="shared" si="0"/>
        <v>0</v>
      </c>
      <c r="N34" s="81"/>
      <c r="R34" s="79" t="str">
        <f t="shared" si="1"/>
        <v>NOT</v>
      </c>
      <c r="S34" s="79" t="str">
        <f t="shared" si="2"/>
        <v>NOT</v>
      </c>
      <c r="T34" s="79" t="str">
        <f t="shared" si="3"/>
        <v>NOT</v>
      </c>
      <c r="V34" s="79" t="str">
        <f t="shared" si="4"/>
        <v/>
      </c>
    </row>
    <row r="35" spans="1:22" x14ac:dyDescent="0.2">
      <c r="B35" s="259"/>
      <c r="C35" s="88"/>
      <c r="D35" s="260"/>
      <c r="E35" s="243"/>
      <c r="F35" s="261" t="s">
        <v>85</v>
      </c>
      <c r="G35" s="243"/>
      <c r="H35" s="262"/>
      <c r="I35" s="243"/>
      <c r="J35" s="262"/>
      <c r="K35" s="88"/>
      <c r="L35" s="143">
        <f t="shared" si="0"/>
        <v>0</v>
      </c>
      <c r="N35" s="81"/>
      <c r="R35" s="79" t="str">
        <f t="shared" si="1"/>
        <v>NOT</v>
      </c>
      <c r="S35" s="79" t="str">
        <f t="shared" si="2"/>
        <v>NOT</v>
      </c>
      <c r="T35" s="79" t="str">
        <f t="shared" si="3"/>
        <v>NOT</v>
      </c>
      <c r="V35" s="79" t="str">
        <f t="shared" si="4"/>
        <v/>
      </c>
    </row>
    <row r="36" spans="1:22" x14ac:dyDescent="0.2">
      <c r="B36" s="259"/>
      <c r="C36" s="88"/>
      <c r="D36" s="260"/>
      <c r="E36" s="243"/>
      <c r="F36" s="261" t="s">
        <v>85</v>
      </c>
      <c r="G36" s="243"/>
      <c r="H36" s="262"/>
      <c r="I36" s="243"/>
      <c r="J36" s="262"/>
      <c r="K36" s="88"/>
      <c r="L36" s="143">
        <f t="shared" si="0"/>
        <v>0</v>
      </c>
      <c r="N36" s="81"/>
      <c r="R36" s="79" t="str">
        <f t="shared" si="1"/>
        <v>NOT</v>
      </c>
      <c r="S36" s="79" t="str">
        <f t="shared" si="2"/>
        <v>NOT</v>
      </c>
      <c r="T36" s="79" t="str">
        <f t="shared" si="3"/>
        <v>NOT</v>
      </c>
      <c r="V36" s="79" t="str">
        <f t="shared" si="4"/>
        <v/>
      </c>
    </row>
    <row r="37" spans="1:22" x14ac:dyDescent="0.2">
      <c r="B37" s="259"/>
      <c r="C37" s="88"/>
      <c r="D37" s="260"/>
      <c r="E37" s="243"/>
      <c r="F37" s="261" t="s">
        <v>85</v>
      </c>
      <c r="G37" s="243"/>
      <c r="H37" s="262"/>
      <c r="I37" s="243"/>
      <c r="J37" s="262"/>
      <c r="K37" s="88"/>
      <c r="L37" s="143">
        <f t="shared" si="0"/>
        <v>0</v>
      </c>
      <c r="N37" s="81"/>
      <c r="R37" s="79" t="str">
        <f t="shared" si="1"/>
        <v>NOT</v>
      </c>
      <c r="S37" s="79" t="str">
        <f t="shared" si="2"/>
        <v>NOT</v>
      </c>
      <c r="T37" s="79" t="str">
        <f t="shared" si="3"/>
        <v>NOT</v>
      </c>
      <c r="V37" s="79" t="str">
        <f t="shared" si="4"/>
        <v/>
      </c>
    </row>
    <row r="38" spans="1:22" x14ac:dyDescent="0.2">
      <c r="B38" s="104"/>
      <c r="C38" s="88"/>
      <c r="D38" s="81"/>
      <c r="F38" s="81"/>
      <c r="H38" s="81"/>
      <c r="J38" s="81"/>
      <c r="K38" s="88"/>
      <c r="L38" s="81"/>
      <c r="N38" s="227"/>
    </row>
    <row r="39" spans="1:22" x14ac:dyDescent="0.2">
      <c r="B39" s="104"/>
      <c r="C39" s="88"/>
      <c r="D39" s="81"/>
      <c r="F39" s="81"/>
      <c r="H39" s="81"/>
      <c r="J39" s="81"/>
      <c r="K39" s="88"/>
      <c r="L39" s="81"/>
      <c r="N39" s="227"/>
    </row>
    <row r="40" spans="1:22" ht="27" customHeight="1" x14ac:dyDescent="0.2">
      <c r="A40" s="247">
        <v>3</v>
      </c>
      <c r="B40" s="248" t="s">
        <v>284</v>
      </c>
      <c r="C40" s="249"/>
      <c r="D40" s="783" t="s">
        <v>305</v>
      </c>
      <c r="E40" s="765"/>
      <c r="F40" s="765"/>
      <c r="G40" s="765"/>
      <c r="H40" s="766"/>
      <c r="I40" s="250"/>
      <c r="J40" s="251" t="s">
        <v>18</v>
      </c>
      <c r="K40" s="249"/>
      <c r="L40" s="252">
        <f>ROUNDDOWN(L12*0.15,2)</f>
        <v>0</v>
      </c>
      <c r="M40" s="250"/>
      <c r="N40" s="253">
        <f>IF(L40=0,0%,L40/L$8)</f>
        <v>0</v>
      </c>
      <c r="P40" s="270"/>
      <c r="Q40" s="231" t="str">
        <f>IF(N40&gt;P40,D40,"")</f>
        <v/>
      </c>
      <c r="R40" s="79" t="str">
        <f>IF(OR(N40&gt;O40,N40&gt;P40),"Overhead costs shall not exceed 5 per cent of each partner’s total eligible budget and shall not exceed 25 per cent of the total staff costs in each partner’s budget!","")</f>
        <v/>
      </c>
      <c r="S40" s="85"/>
    </row>
    <row r="41" spans="1:22" x14ac:dyDescent="0.2">
      <c r="B41" s="104"/>
      <c r="C41" s="88"/>
      <c r="D41" s="81"/>
      <c r="F41" s="81"/>
      <c r="H41" s="81"/>
      <c r="J41" s="81"/>
      <c r="K41" s="88"/>
      <c r="L41" s="81"/>
      <c r="N41" s="227"/>
    </row>
    <row r="42" spans="1:22" ht="27" customHeight="1" x14ac:dyDescent="0.2">
      <c r="A42" s="247">
        <v>4</v>
      </c>
      <c r="B42" s="248" t="s">
        <v>286</v>
      </c>
      <c r="C42" s="249"/>
      <c r="D42" s="784" t="s">
        <v>563</v>
      </c>
      <c r="E42" s="785"/>
      <c r="F42" s="785"/>
      <c r="G42" s="785"/>
      <c r="H42" s="786"/>
      <c r="I42" s="250"/>
      <c r="J42" s="251" t="s">
        <v>18</v>
      </c>
      <c r="K42" s="249"/>
      <c r="L42" s="252">
        <f>IF(L14&gt;0,0,(L44+L62+L80))</f>
        <v>0</v>
      </c>
      <c r="M42" s="250"/>
      <c r="N42" s="253">
        <f>IF(L42=0,0%,L42/L$8)</f>
        <v>0</v>
      </c>
      <c r="O42" s="495">
        <f>IF(LEN(Q42)&gt;1,1,0)</f>
        <v>0</v>
      </c>
      <c r="P42" s="95"/>
      <c r="Q42" s="79" t="str">
        <f>IF(AND(L14&gt;0,(L44+L62+L80)),D42,"")</f>
        <v/>
      </c>
    </row>
    <row r="43" spans="1:22" s="76" customFormat="1" ht="7.5" customHeight="1" x14ac:dyDescent="0.2">
      <c r="A43" s="87"/>
      <c r="B43" s="88"/>
      <c r="C43" s="88"/>
      <c r="D43" s="70"/>
      <c r="E43" s="70"/>
      <c r="F43" s="70"/>
      <c r="G43" s="70"/>
      <c r="H43" s="70"/>
      <c r="I43" s="70"/>
      <c r="J43" s="70"/>
      <c r="K43" s="88"/>
      <c r="L43" s="70"/>
      <c r="M43" s="70"/>
      <c r="N43" s="70"/>
      <c r="O43" s="89"/>
      <c r="V43" s="79"/>
    </row>
    <row r="44" spans="1:22" ht="13.5" customHeight="1" x14ac:dyDescent="0.2">
      <c r="A44" s="276"/>
      <c r="B44" s="278" t="s">
        <v>287</v>
      </c>
      <c r="C44" s="277"/>
      <c r="D44" s="747" t="s">
        <v>166</v>
      </c>
      <c r="E44" s="748"/>
      <c r="F44" s="748"/>
      <c r="G44" s="748"/>
      <c r="H44" s="748"/>
      <c r="I44" s="279"/>
      <c r="J44" s="280" t="s">
        <v>18</v>
      </c>
      <c r="K44" s="88"/>
      <c r="L44" s="156">
        <f>SUM(L51:L60)</f>
        <v>0</v>
      </c>
      <c r="M44" s="246"/>
      <c r="N44" s="147">
        <f>IF(L44=0,0%,L44/L$8)</f>
        <v>0</v>
      </c>
      <c r="O44" s="495">
        <f>IF(LEN(R44)&gt;3,1,0)</f>
        <v>0</v>
      </c>
      <c r="R44" s="79" t="str">
        <f>IF(AND(R50="NOT",S50="NOT",T50="NOT"),"NOT",D44)</f>
        <v>NOT</v>
      </c>
    </row>
    <row r="45" spans="1:22" s="76" customFormat="1" ht="3" customHeight="1" x14ac:dyDescent="0.2">
      <c r="A45" s="87"/>
      <c r="B45" s="88"/>
      <c r="C45" s="88"/>
      <c r="D45" s="70"/>
      <c r="E45" s="70"/>
      <c r="F45" s="70"/>
      <c r="G45" s="70"/>
      <c r="H45" s="70"/>
      <c r="I45" s="70"/>
      <c r="J45" s="70"/>
      <c r="K45" s="88"/>
      <c r="L45" s="70"/>
      <c r="M45" s="70"/>
      <c r="N45" s="70"/>
      <c r="O45" s="89"/>
      <c r="V45" s="79"/>
    </row>
    <row r="46" spans="1:22" x14ac:dyDescent="0.2">
      <c r="B46" s="742" t="s">
        <v>197</v>
      </c>
      <c r="C46" s="743"/>
      <c r="D46" s="743"/>
      <c r="E46" s="743"/>
      <c r="F46" s="743"/>
      <c r="H46" s="81"/>
      <c r="J46" s="81"/>
      <c r="K46" s="88"/>
      <c r="L46" s="81"/>
      <c r="N46" s="227"/>
      <c r="R46" s="79" t="str">
        <f>IF(AND(($L44&gt;0),ISBLANK(B48)),B46,"NOT")</f>
        <v>NOT</v>
      </c>
    </row>
    <row r="47" spans="1:22" ht="3" customHeight="1" x14ac:dyDescent="0.2">
      <c r="B47" s="104"/>
      <c r="C47" s="88"/>
      <c r="D47" s="81"/>
      <c r="F47" s="81"/>
      <c r="H47" s="81"/>
      <c r="J47" s="81"/>
      <c r="K47" s="88"/>
      <c r="L47" s="81"/>
      <c r="N47" s="227"/>
    </row>
    <row r="48" spans="1:22" ht="50.25" customHeight="1" x14ac:dyDescent="0.2">
      <c r="B48" s="744"/>
      <c r="C48" s="745"/>
      <c r="D48" s="745"/>
      <c r="E48" s="745"/>
      <c r="F48" s="745"/>
      <c r="G48" s="745"/>
      <c r="H48" s="745"/>
      <c r="I48" s="745"/>
      <c r="J48" s="745"/>
      <c r="K48" s="745"/>
      <c r="L48" s="746"/>
      <c r="M48" s="70" t="s">
        <v>19</v>
      </c>
      <c r="N48" s="227"/>
    </row>
    <row r="49" spans="1:22" ht="3.75" customHeight="1" x14ac:dyDescent="0.2">
      <c r="B49" s="104"/>
      <c r="C49" s="88"/>
      <c r="D49" s="81"/>
      <c r="F49" s="81"/>
      <c r="H49" s="81"/>
      <c r="J49" s="81"/>
      <c r="K49" s="88"/>
      <c r="L49" s="81"/>
      <c r="N49" s="227"/>
    </row>
    <row r="50" spans="1:22" ht="12.75" customHeight="1" x14ac:dyDescent="0.2">
      <c r="B50" s="244" t="s">
        <v>17</v>
      </c>
      <c r="C50" s="88"/>
      <c r="D50" s="244" t="s">
        <v>580</v>
      </c>
      <c r="F50" s="244" t="s">
        <v>205</v>
      </c>
      <c r="H50" s="244" t="s">
        <v>16</v>
      </c>
      <c r="J50" s="244" t="s">
        <v>15</v>
      </c>
      <c r="K50" s="245"/>
      <c r="L50" s="103" t="s">
        <v>141</v>
      </c>
      <c r="N50" s="81"/>
      <c r="R50" s="255" t="str">
        <f>IF(AND(R51="NOT",R52="NOT",R53="NOT",R54="NOT",R55="NOT",R56="NOT",R57="NOT",R58="NOT",R59="NOT",R60="NOT",R46="NOT"),"NOT",D44)</f>
        <v>NOT</v>
      </c>
      <c r="S50" s="255" t="str">
        <f>IF(AND(S51="NOT",S52="NOT",S53="NOT",S54="NOT",S55="NOT",S56="NOT",S57="NOT",S58="NOT",S59="NOT",S60="NOT",R46="NOT"),"NOT",D44)</f>
        <v>NOT</v>
      </c>
      <c r="T50" s="255" t="str">
        <f>IF(AND(T51="NOT",T52="NOT",T53="NOT",T54="NOT",T55="NOT",T56="NOT",T57="NOT",T58="NOT",T59="NOT",T60="NOT",R46="NOT"),"NOT",D44)</f>
        <v>NOT</v>
      </c>
    </row>
    <row r="51" spans="1:22" x14ac:dyDescent="0.2">
      <c r="B51" s="259"/>
      <c r="C51" s="88"/>
      <c r="D51" s="260"/>
      <c r="E51" s="243"/>
      <c r="F51" s="261"/>
      <c r="G51" s="243"/>
      <c r="H51" s="262"/>
      <c r="I51" s="243"/>
      <c r="J51" s="262"/>
      <c r="K51" s="88"/>
      <c r="L51" s="143">
        <f t="shared" ref="L51:L60" si="5">TRUNC(H51*J51,2)</f>
        <v>0</v>
      </c>
      <c r="N51" s="81"/>
      <c r="R51" s="79" t="str">
        <f t="shared" ref="R51:R60" si="6">IF(AND(($L51&gt;0),ISBLANK(B51)),B51,"NOT")</f>
        <v>NOT</v>
      </c>
      <c r="S51" s="79" t="str">
        <f t="shared" ref="S51:S60" si="7">IF(AND(($L51&gt;0),ISBLANK(D51)),D51,"NOT")</f>
        <v>NOT</v>
      </c>
      <c r="T51" s="79" t="str">
        <f t="shared" ref="T51:T60" si="8">IF(AND(($L51&gt;0),ISBLANK(F51)),F51,"NOT")</f>
        <v>NOT</v>
      </c>
      <c r="V51" s="79" t="str">
        <f t="shared" si="4"/>
        <v/>
      </c>
    </row>
    <row r="52" spans="1:22" x14ac:dyDescent="0.2">
      <c r="B52" s="259"/>
      <c r="C52" s="88"/>
      <c r="D52" s="260"/>
      <c r="E52" s="243"/>
      <c r="F52" s="261"/>
      <c r="G52" s="243"/>
      <c r="H52" s="262"/>
      <c r="I52" s="243"/>
      <c r="J52" s="262"/>
      <c r="K52" s="88"/>
      <c r="L52" s="143">
        <f t="shared" si="5"/>
        <v>0</v>
      </c>
      <c r="N52" s="81"/>
      <c r="R52" s="79" t="str">
        <f t="shared" si="6"/>
        <v>NOT</v>
      </c>
      <c r="S52" s="79" t="str">
        <f t="shared" si="7"/>
        <v>NOT</v>
      </c>
      <c r="T52" s="79" t="str">
        <f t="shared" si="8"/>
        <v>NOT</v>
      </c>
      <c r="V52" s="79" t="str">
        <f t="shared" si="4"/>
        <v/>
      </c>
    </row>
    <row r="53" spans="1:22" x14ac:dyDescent="0.2">
      <c r="B53" s="259"/>
      <c r="C53" s="88"/>
      <c r="D53" s="260"/>
      <c r="E53" s="243"/>
      <c r="F53" s="261"/>
      <c r="G53" s="243"/>
      <c r="H53" s="262"/>
      <c r="I53" s="243"/>
      <c r="J53" s="262"/>
      <c r="K53" s="88"/>
      <c r="L53" s="143">
        <f t="shared" si="5"/>
        <v>0</v>
      </c>
      <c r="N53" s="81"/>
      <c r="R53" s="79" t="str">
        <f t="shared" si="6"/>
        <v>NOT</v>
      </c>
      <c r="S53" s="79" t="str">
        <f t="shared" si="7"/>
        <v>NOT</v>
      </c>
      <c r="T53" s="79" t="str">
        <f t="shared" si="8"/>
        <v>NOT</v>
      </c>
      <c r="V53" s="79" t="str">
        <f t="shared" si="4"/>
        <v/>
      </c>
    </row>
    <row r="54" spans="1:22" x14ac:dyDescent="0.2">
      <c r="B54" s="259"/>
      <c r="C54" s="88"/>
      <c r="D54" s="260"/>
      <c r="E54" s="243"/>
      <c r="F54" s="261"/>
      <c r="G54" s="243"/>
      <c r="H54" s="262"/>
      <c r="I54" s="243"/>
      <c r="J54" s="262"/>
      <c r="K54" s="88"/>
      <c r="L54" s="143">
        <f t="shared" si="5"/>
        <v>0</v>
      </c>
      <c r="N54" s="81"/>
      <c r="R54" s="79" t="str">
        <f t="shared" si="6"/>
        <v>NOT</v>
      </c>
      <c r="S54" s="79" t="str">
        <f t="shared" si="7"/>
        <v>NOT</v>
      </c>
      <c r="T54" s="79" t="str">
        <f t="shared" si="8"/>
        <v>NOT</v>
      </c>
      <c r="V54" s="79" t="str">
        <f t="shared" si="4"/>
        <v/>
      </c>
    </row>
    <row r="55" spans="1:22" x14ac:dyDescent="0.2">
      <c r="B55" s="259"/>
      <c r="C55" s="88"/>
      <c r="D55" s="260"/>
      <c r="E55" s="243"/>
      <c r="F55" s="261"/>
      <c r="G55" s="243"/>
      <c r="H55" s="262"/>
      <c r="I55" s="243"/>
      <c r="J55" s="262"/>
      <c r="K55" s="88"/>
      <c r="L55" s="143">
        <f t="shared" si="5"/>
        <v>0</v>
      </c>
      <c r="N55" s="81"/>
      <c r="R55" s="79" t="str">
        <f t="shared" si="6"/>
        <v>NOT</v>
      </c>
      <c r="S55" s="79" t="str">
        <f t="shared" si="7"/>
        <v>NOT</v>
      </c>
      <c r="T55" s="79" t="str">
        <f t="shared" si="8"/>
        <v>NOT</v>
      </c>
      <c r="V55" s="79" t="str">
        <f t="shared" si="4"/>
        <v/>
      </c>
    </row>
    <row r="56" spans="1:22" x14ac:dyDescent="0.2">
      <c r="B56" s="259"/>
      <c r="C56" s="88"/>
      <c r="D56" s="260"/>
      <c r="E56" s="243"/>
      <c r="F56" s="261"/>
      <c r="G56" s="243"/>
      <c r="H56" s="262"/>
      <c r="I56" s="243"/>
      <c r="J56" s="262"/>
      <c r="K56" s="88"/>
      <c r="L56" s="143">
        <f t="shared" si="5"/>
        <v>0</v>
      </c>
      <c r="N56" s="81"/>
      <c r="R56" s="79" t="str">
        <f t="shared" si="6"/>
        <v>NOT</v>
      </c>
      <c r="S56" s="79" t="str">
        <f t="shared" si="7"/>
        <v>NOT</v>
      </c>
      <c r="T56" s="79" t="str">
        <f t="shared" si="8"/>
        <v>NOT</v>
      </c>
      <c r="V56" s="79" t="str">
        <f t="shared" si="4"/>
        <v/>
      </c>
    </row>
    <row r="57" spans="1:22" x14ac:dyDescent="0.2">
      <c r="B57" s="259"/>
      <c r="C57" s="88"/>
      <c r="D57" s="260"/>
      <c r="E57" s="243"/>
      <c r="F57" s="261"/>
      <c r="G57" s="243"/>
      <c r="H57" s="262"/>
      <c r="I57" s="243"/>
      <c r="J57" s="262"/>
      <c r="K57" s="88"/>
      <c r="L57" s="143">
        <f t="shared" si="5"/>
        <v>0</v>
      </c>
      <c r="N57" s="81"/>
      <c r="R57" s="79" t="str">
        <f t="shared" si="6"/>
        <v>NOT</v>
      </c>
      <c r="S57" s="79" t="str">
        <f t="shared" si="7"/>
        <v>NOT</v>
      </c>
      <c r="T57" s="79" t="str">
        <f t="shared" si="8"/>
        <v>NOT</v>
      </c>
      <c r="V57" s="79" t="str">
        <f t="shared" si="4"/>
        <v/>
      </c>
    </row>
    <row r="58" spans="1:22" x14ac:dyDescent="0.2">
      <c r="B58" s="259"/>
      <c r="C58" s="88"/>
      <c r="D58" s="260"/>
      <c r="E58" s="243"/>
      <c r="F58" s="261"/>
      <c r="G58" s="243"/>
      <c r="H58" s="262"/>
      <c r="I58" s="243"/>
      <c r="J58" s="262"/>
      <c r="K58" s="88"/>
      <c r="L58" s="143">
        <f t="shared" si="5"/>
        <v>0</v>
      </c>
      <c r="N58" s="81"/>
      <c r="R58" s="79" t="str">
        <f t="shared" si="6"/>
        <v>NOT</v>
      </c>
      <c r="S58" s="79" t="str">
        <f t="shared" si="7"/>
        <v>NOT</v>
      </c>
      <c r="T58" s="79" t="str">
        <f t="shared" si="8"/>
        <v>NOT</v>
      </c>
      <c r="V58" s="79" t="str">
        <f t="shared" si="4"/>
        <v/>
      </c>
    </row>
    <row r="59" spans="1:22" x14ac:dyDescent="0.2">
      <c r="B59" s="259"/>
      <c r="C59" s="88"/>
      <c r="D59" s="260"/>
      <c r="E59" s="243"/>
      <c r="F59" s="261"/>
      <c r="G59" s="243"/>
      <c r="H59" s="262"/>
      <c r="I59" s="243"/>
      <c r="J59" s="262"/>
      <c r="K59" s="88"/>
      <c r="L59" s="143">
        <f t="shared" si="5"/>
        <v>0</v>
      </c>
      <c r="N59" s="81"/>
      <c r="R59" s="79" t="str">
        <f t="shared" si="6"/>
        <v>NOT</v>
      </c>
      <c r="S59" s="79" t="str">
        <f t="shared" si="7"/>
        <v>NOT</v>
      </c>
      <c r="T59" s="79" t="str">
        <f t="shared" si="8"/>
        <v>NOT</v>
      </c>
      <c r="V59" s="79" t="str">
        <f t="shared" si="4"/>
        <v/>
      </c>
    </row>
    <row r="60" spans="1:22" x14ac:dyDescent="0.2">
      <c r="B60" s="259"/>
      <c r="C60" s="88"/>
      <c r="D60" s="260"/>
      <c r="E60" s="243"/>
      <c r="F60" s="261"/>
      <c r="G60" s="243"/>
      <c r="H60" s="262"/>
      <c r="I60" s="243"/>
      <c r="J60" s="262"/>
      <c r="K60" s="88"/>
      <c r="L60" s="143">
        <f t="shared" si="5"/>
        <v>0</v>
      </c>
      <c r="N60" s="81"/>
      <c r="R60" s="79" t="str">
        <f t="shared" si="6"/>
        <v>NOT</v>
      </c>
      <c r="S60" s="79" t="str">
        <f t="shared" si="7"/>
        <v>NOT</v>
      </c>
      <c r="T60" s="79" t="str">
        <f t="shared" si="8"/>
        <v>NOT</v>
      </c>
      <c r="V60" s="79" t="str">
        <f t="shared" si="4"/>
        <v/>
      </c>
    </row>
    <row r="61" spans="1:22" x14ac:dyDescent="0.2">
      <c r="B61" s="104"/>
      <c r="C61" s="88"/>
      <c r="D61" s="81"/>
      <c r="F61" s="81"/>
      <c r="H61" s="81"/>
      <c r="J61" s="81"/>
      <c r="K61" s="88"/>
      <c r="L61" s="81"/>
      <c r="N61" s="227"/>
    </row>
    <row r="62" spans="1:22" ht="13.5" customHeight="1" x14ac:dyDescent="0.2">
      <c r="A62" s="276"/>
      <c r="B62" s="278" t="s">
        <v>288</v>
      </c>
      <c r="C62" s="277"/>
      <c r="D62" s="747" t="s">
        <v>166</v>
      </c>
      <c r="E62" s="748"/>
      <c r="F62" s="748"/>
      <c r="G62" s="748"/>
      <c r="H62" s="748"/>
      <c r="I62" s="279"/>
      <c r="J62" s="280" t="s">
        <v>18</v>
      </c>
      <c r="K62" s="88"/>
      <c r="L62" s="156">
        <f>SUM(L69:L78)</f>
        <v>0</v>
      </c>
      <c r="M62" s="246"/>
      <c r="N62" s="147">
        <f>IF(L62=0,0%,L62/L$8)</f>
        <v>0</v>
      </c>
      <c r="O62" s="495">
        <f>IF(LEN(R62)&gt;3,1,0)</f>
        <v>0</v>
      </c>
      <c r="R62" s="79" t="str">
        <f>IF(AND(R68="NOT",S68="NOT",T68="NOT"),"NOT",D62)</f>
        <v>NOT</v>
      </c>
    </row>
    <row r="63" spans="1:22" s="76" customFormat="1" ht="3" customHeight="1" x14ac:dyDescent="0.2">
      <c r="A63" s="87"/>
      <c r="B63" s="88"/>
      <c r="C63" s="88"/>
      <c r="D63" s="70"/>
      <c r="E63" s="70"/>
      <c r="F63" s="70"/>
      <c r="G63" s="70"/>
      <c r="H63" s="70"/>
      <c r="I63" s="70"/>
      <c r="J63" s="70"/>
      <c r="K63" s="88"/>
      <c r="L63" s="70"/>
      <c r="M63" s="70"/>
      <c r="N63" s="70"/>
      <c r="O63" s="89"/>
      <c r="V63" s="79"/>
    </row>
    <row r="64" spans="1:22" x14ac:dyDescent="0.2">
      <c r="B64" s="742" t="s">
        <v>197</v>
      </c>
      <c r="C64" s="743"/>
      <c r="D64" s="743"/>
      <c r="E64" s="743"/>
      <c r="F64" s="743"/>
      <c r="H64" s="81"/>
      <c r="J64" s="81"/>
      <c r="K64" s="88"/>
      <c r="L64" s="81"/>
      <c r="N64" s="227"/>
      <c r="R64" s="79" t="str">
        <f>IF(AND(($L62&gt;0),ISBLANK(B66)),B64,"NOT")</f>
        <v>NOT</v>
      </c>
    </row>
    <row r="65" spans="1:22" ht="3" customHeight="1" x14ac:dyDescent="0.2">
      <c r="B65" s="104"/>
      <c r="C65" s="88"/>
      <c r="D65" s="81"/>
      <c r="F65" s="81"/>
      <c r="H65" s="81"/>
      <c r="J65" s="81"/>
      <c r="K65" s="88"/>
      <c r="L65" s="81"/>
      <c r="N65" s="227"/>
    </row>
    <row r="66" spans="1:22" ht="50.25" customHeight="1" x14ac:dyDescent="0.2">
      <c r="B66" s="744"/>
      <c r="C66" s="745"/>
      <c r="D66" s="745"/>
      <c r="E66" s="745"/>
      <c r="F66" s="745"/>
      <c r="G66" s="745"/>
      <c r="H66" s="745"/>
      <c r="I66" s="745"/>
      <c r="J66" s="745"/>
      <c r="K66" s="745"/>
      <c r="L66" s="746"/>
      <c r="M66" s="70" t="s">
        <v>19</v>
      </c>
      <c r="N66" s="227"/>
    </row>
    <row r="67" spans="1:22" ht="3.75" customHeight="1" x14ac:dyDescent="0.2">
      <c r="B67" s="104"/>
      <c r="C67" s="88"/>
      <c r="D67" s="81"/>
      <c r="F67" s="81"/>
      <c r="H67" s="81"/>
      <c r="J67" s="81"/>
      <c r="K67" s="88"/>
      <c r="L67" s="81"/>
      <c r="N67" s="227"/>
    </row>
    <row r="68" spans="1:22" ht="12.75" customHeight="1" x14ac:dyDescent="0.2">
      <c r="B68" s="244" t="s">
        <v>17</v>
      </c>
      <c r="C68" s="88"/>
      <c r="D68" s="244" t="s">
        <v>580</v>
      </c>
      <c r="F68" s="244" t="s">
        <v>205</v>
      </c>
      <c r="H68" s="244" t="s">
        <v>16</v>
      </c>
      <c r="J68" s="244" t="s">
        <v>15</v>
      </c>
      <c r="K68" s="245"/>
      <c r="L68" s="103" t="s">
        <v>141</v>
      </c>
      <c r="N68" s="81"/>
      <c r="R68" s="255" t="str">
        <f>IF(AND(R69="NOT",R70="NOT",R71="NOT",R72="NOT",R73="NOT",R74="NOT",R75="NOT",R76="NOT",R77="NOT",R78="NOT",R64="NOT"),"NOT",D62)</f>
        <v>NOT</v>
      </c>
      <c r="S68" s="255" t="str">
        <f>IF(AND(S69="NOT",S70="NOT",S71="NOT",S72="NOT",S73="NOT",S74="NOT",S75="NOT",S76="NOT",S77="NOT",S78="NOT",R64="NOT"),"NOT",D62)</f>
        <v>NOT</v>
      </c>
      <c r="T68" s="255" t="str">
        <f>IF(AND(T69="NOT",T70="NOT",T71="NOT",T72="NOT",T73="NOT",T74="NOT",T75="NOT",T76="NOT",T77="NOT",T78="NOT",R64="NOT"),"NOT",D62)</f>
        <v>NOT</v>
      </c>
    </row>
    <row r="69" spans="1:22" x14ac:dyDescent="0.2">
      <c r="B69" s="259"/>
      <c r="C69" s="88"/>
      <c r="D69" s="260"/>
      <c r="E69" s="243"/>
      <c r="F69" s="261"/>
      <c r="G69" s="243"/>
      <c r="H69" s="262"/>
      <c r="I69" s="243"/>
      <c r="J69" s="262"/>
      <c r="K69" s="88"/>
      <c r="L69" s="143">
        <f t="shared" ref="L69:L78" si="9">TRUNC(H69*J69,2)</f>
        <v>0</v>
      </c>
      <c r="N69" s="81"/>
      <c r="R69" s="79" t="str">
        <f t="shared" ref="R69:R78" si="10">IF(AND(($L69&gt;0),ISBLANK(B69)),B69,"NOT")</f>
        <v>NOT</v>
      </c>
      <c r="S69" s="79" t="str">
        <f t="shared" ref="S69:S78" si="11">IF(AND(($L69&gt;0),ISBLANK(D69)),D69,"NOT")</f>
        <v>NOT</v>
      </c>
      <c r="T69" s="79" t="str">
        <f t="shared" ref="T69:T78" si="12">IF(AND(($L69&gt;0),ISBLANK(F69)),F69,"NOT")</f>
        <v>NOT</v>
      </c>
      <c r="V69" s="79" t="str">
        <f t="shared" si="4"/>
        <v/>
      </c>
    </row>
    <row r="70" spans="1:22" x14ac:dyDescent="0.2">
      <c r="B70" s="259"/>
      <c r="C70" s="88"/>
      <c r="D70" s="260"/>
      <c r="E70" s="243"/>
      <c r="F70" s="261"/>
      <c r="G70" s="243"/>
      <c r="H70" s="262"/>
      <c r="I70" s="243"/>
      <c r="J70" s="262"/>
      <c r="K70" s="88"/>
      <c r="L70" s="143">
        <f t="shared" si="9"/>
        <v>0</v>
      </c>
      <c r="N70" s="81"/>
      <c r="R70" s="79" t="str">
        <f t="shared" si="10"/>
        <v>NOT</v>
      </c>
      <c r="S70" s="79" t="str">
        <f t="shared" si="11"/>
        <v>NOT</v>
      </c>
      <c r="T70" s="79" t="str">
        <f t="shared" si="12"/>
        <v>NOT</v>
      </c>
      <c r="V70" s="79" t="str">
        <f t="shared" si="4"/>
        <v/>
      </c>
    </row>
    <row r="71" spans="1:22" x14ac:dyDescent="0.2">
      <c r="B71" s="259"/>
      <c r="C71" s="88"/>
      <c r="D71" s="260"/>
      <c r="E71" s="243"/>
      <c r="F71" s="261"/>
      <c r="G71" s="243"/>
      <c r="H71" s="262"/>
      <c r="I71" s="243"/>
      <c r="J71" s="262"/>
      <c r="K71" s="88"/>
      <c r="L71" s="143">
        <f t="shared" si="9"/>
        <v>0</v>
      </c>
      <c r="N71" s="81"/>
      <c r="R71" s="79" t="str">
        <f t="shared" si="10"/>
        <v>NOT</v>
      </c>
      <c r="S71" s="79" t="str">
        <f t="shared" si="11"/>
        <v>NOT</v>
      </c>
      <c r="T71" s="79" t="str">
        <f t="shared" si="12"/>
        <v>NOT</v>
      </c>
      <c r="V71" s="79" t="str">
        <f t="shared" si="4"/>
        <v/>
      </c>
    </row>
    <row r="72" spans="1:22" x14ac:dyDescent="0.2">
      <c r="B72" s="259"/>
      <c r="C72" s="88"/>
      <c r="D72" s="260"/>
      <c r="E72" s="243"/>
      <c r="F72" s="261"/>
      <c r="G72" s="243"/>
      <c r="H72" s="262"/>
      <c r="I72" s="243"/>
      <c r="J72" s="262"/>
      <c r="K72" s="88"/>
      <c r="L72" s="143">
        <f t="shared" si="9"/>
        <v>0</v>
      </c>
      <c r="N72" s="81"/>
      <c r="R72" s="79" t="str">
        <f t="shared" si="10"/>
        <v>NOT</v>
      </c>
      <c r="S72" s="79" t="str">
        <f t="shared" si="11"/>
        <v>NOT</v>
      </c>
      <c r="T72" s="79" t="str">
        <f t="shared" si="12"/>
        <v>NOT</v>
      </c>
      <c r="V72" s="79" t="str">
        <f t="shared" si="4"/>
        <v/>
      </c>
    </row>
    <row r="73" spans="1:22" x14ac:dyDescent="0.2">
      <c r="B73" s="259"/>
      <c r="C73" s="88"/>
      <c r="D73" s="260"/>
      <c r="E73" s="243"/>
      <c r="F73" s="261"/>
      <c r="G73" s="243"/>
      <c r="H73" s="262"/>
      <c r="I73" s="243"/>
      <c r="J73" s="262"/>
      <c r="K73" s="88"/>
      <c r="L73" s="143">
        <f t="shared" si="9"/>
        <v>0</v>
      </c>
      <c r="N73" s="81"/>
      <c r="R73" s="79" t="str">
        <f t="shared" si="10"/>
        <v>NOT</v>
      </c>
      <c r="S73" s="79" t="str">
        <f t="shared" si="11"/>
        <v>NOT</v>
      </c>
      <c r="T73" s="79" t="str">
        <f t="shared" si="12"/>
        <v>NOT</v>
      </c>
      <c r="V73" s="79" t="str">
        <f t="shared" si="4"/>
        <v/>
      </c>
    </row>
    <row r="74" spans="1:22" x14ac:dyDescent="0.2">
      <c r="B74" s="259"/>
      <c r="C74" s="88"/>
      <c r="D74" s="260"/>
      <c r="E74" s="243"/>
      <c r="F74" s="261"/>
      <c r="G74" s="243"/>
      <c r="H74" s="262"/>
      <c r="I74" s="243"/>
      <c r="J74" s="262"/>
      <c r="K74" s="88"/>
      <c r="L74" s="143">
        <f t="shared" si="9"/>
        <v>0</v>
      </c>
      <c r="N74" s="81"/>
      <c r="R74" s="79" t="str">
        <f t="shared" si="10"/>
        <v>NOT</v>
      </c>
      <c r="S74" s="79" t="str">
        <f t="shared" si="11"/>
        <v>NOT</v>
      </c>
      <c r="T74" s="79" t="str">
        <f t="shared" si="12"/>
        <v>NOT</v>
      </c>
      <c r="V74" s="79" t="str">
        <f t="shared" si="4"/>
        <v/>
      </c>
    </row>
    <row r="75" spans="1:22" x14ac:dyDescent="0.2">
      <c r="B75" s="259"/>
      <c r="C75" s="88"/>
      <c r="D75" s="260"/>
      <c r="E75" s="243"/>
      <c r="F75" s="261"/>
      <c r="G75" s="243"/>
      <c r="H75" s="262"/>
      <c r="I75" s="243"/>
      <c r="J75" s="262"/>
      <c r="K75" s="88"/>
      <c r="L75" s="143">
        <f t="shared" si="9"/>
        <v>0</v>
      </c>
      <c r="N75" s="81"/>
      <c r="R75" s="79" t="str">
        <f t="shared" si="10"/>
        <v>NOT</v>
      </c>
      <c r="S75" s="79" t="str">
        <f t="shared" si="11"/>
        <v>NOT</v>
      </c>
      <c r="T75" s="79" t="str">
        <f t="shared" si="12"/>
        <v>NOT</v>
      </c>
      <c r="V75" s="79" t="str">
        <f t="shared" si="4"/>
        <v/>
      </c>
    </row>
    <row r="76" spans="1:22" x14ac:dyDescent="0.2">
      <c r="B76" s="259"/>
      <c r="C76" s="88"/>
      <c r="D76" s="260"/>
      <c r="E76" s="243"/>
      <c r="F76" s="261"/>
      <c r="G76" s="243"/>
      <c r="H76" s="262"/>
      <c r="I76" s="243"/>
      <c r="J76" s="262"/>
      <c r="K76" s="88"/>
      <c r="L76" s="143">
        <f t="shared" si="9"/>
        <v>0</v>
      </c>
      <c r="N76" s="81"/>
      <c r="R76" s="79" t="str">
        <f t="shared" si="10"/>
        <v>NOT</v>
      </c>
      <c r="S76" s="79" t="str">
        <f t="shared" si="11"/>
        <v>NOT</v>
      </c>
      <c r="T76" s="79" t="str">
        <f t="shared" si="12"/>
        <v>NOT</v>
      </c>
      <c r="V76" s="79" t="str">
        <f t="shared" si="4"/>
        <v/>
      </c>
    </row>
    <row r="77" spans="1:22" x14ac:dyDescent="0.2">
      <c r="B77" s="259"/>
      <c r="C77" s="88"/>
      <c r="D77" s="260"/>
      <c r="E77" s="243"/>
      <c r="F77" s="261"/>
      <c r="G77" s="243"/>
      <c r="H77" s="262"/>
      <c r="I77" s="243"/>
      <c r="J77" s="262"/>
      <c r="K77" s="88"/>
      <c r="L77" s="143">
        <f t="shared" si="9"/>
        <v>0</v>
      </c>
      <c r="N77" s="81"/>
      <c r="R77" s="79" t="str">
        <f t="shared" si="10"/>
        <v>NOT</v>
      </c>
      <c r="S77" s="79" t="str">
        <f t="shared" si="11"/>
        <v>NOT</v>
      </c>
      <c r="T77" s="79" t="str">
        <f t="shared" si="12"/>
        <v>NOT</v>
      </c>
      <c r="V77" s="79" t="str">
        <f t="shared" si="4"/>
        <v/>
      </c>
    </row>
    <row r="78" spans="1:22" x14ac:dyDescent="0.2">
      <c r="B78" s="259"/>
      <c r="C78" s="88"/>
      <c r="D78" s="260"/>
      <c r="E78" s="243"/>
      <c r="F78" s="261"/>
      <c r="G78" s="243"/>
      <c r="H78" s="262"/>
      <c r="I78" s="243"/>
      <c r="J78" s="262"/>
      <c r="K78" s="88"/>
      <c r="L78" s="143">
        <f t="shared" si="9"/>
        <v>0</v>
      </c>
      <c r="N78" s="81"/>
      <c r="R78" s="79" t="str">
        <f t="shared" si="10"/>
        <v>NOT</v>
      </c>
      <c r="S78" s="79" t="str">
        <f t="shared" si="11"/>
        <v>NOT</v>
      </c>
      <c r="T78" s="79" t="str">
        <f t="shared" si="12"/>
        <v>NOT</v>
      </c>
      <c r="V78" s="79" t="str">
        <f t="shared" si="4"/>
        <v/>
      </c>
    </row>
    <row r="79" spans="1:22" s="76" customFormat="1" ht="12.75" customHeight="1" x14ac:dyDescent="0.2">
      <c r="A79" s="87"/>
      <c r="B79" s="88"/>
      <c r="C79" s="88"/>
      <c r="D79" s="70"/>
      <c r="E79" s="70"/>
      <c r="F79" s="70"/>
      <c r="G79" s="70"/>
      <c r="H79" s="70"/>
      <c r="I79" s="70"/>
      <c r="J79" s="70"/>
      <c r="K79" s="88"/>
      <c r="L79" s="70"/>
      <c r="M79" s="70"/>
      <c r="N79" s="70"/>
      <c r="O79" s="89"/>
      <c r="V79" s="79"/>
    </row>
    <row r="80" spans="1:22" ht="13.5" customHeight="1" x14ac:dyDescent="0.2">
      <c r="A80" s="276"/>
      <c r="B80" s="278" t="s">
        <v>289</v>
      </c>
      <c r="C80" s="277"/>
      <c r="D80" s="747" t="s">
        <v>166</v>
      </c>
      <c r="E80" s="748"/>
      <c r="F80" s="748"/>
      <c r="G80" s="748"/>
      <c r="H80" s="748"/>
      <c r="I80" s="279"/>
      <c r="J80" s="280" t="s">
        <v>18</v>
      </c>
      <c r="K80" s="88"/>
      <c r="L80" s="156">
        <f>SUM(L87:L96)</f>
        <v>0</v>
      </c>
      <c r="M80" s="246"/>
      <c r="N80" s="147">
        <f>IF(L80=0,0%,L80/L$8)</f>
        <v>0</v>
      </c>
      <c r="O80" s="495">
        <f>IF(LEN(R80)&gt;3,1,0)</f>
        <v>0</v>
      </c>
      <c r="R80" s="79" t="str">
        <f>IF(AND(R86="NOT",S86="NOT",T86="NOT"),"NOT",D80)</f>
        <v>NOT</v>
      </c>
    </row>
    <row r="81" spans="1:22" s="76" customFormat="1" ht="3" customHeight="1" x14ac:dyDescent="0.2">
      <c r="A81" s="87"/>
      <c r="B81" s="88"/>
      <c r="C81" s="88"/>
      <c r="D81" s="70"/>
      <c r="E81" s="70"/>
      <c r="F81" s="70"/>
      <c r="G81" s="70"/>
      <c r="H81" s="70"/>
      <c r="I81" s="70"/>
      <c r="J81" s="70"/>
      <c r="K81" s="88"/>
      <c r="L81" s="70"/>
      <c r="M81" s="70"/>
      <c r="N81" s="70"/>
      <c r="O81" s="89"/>
      <c r="V81" s="79"/>
    </row>
    <row r="82" spans="1:22" x14ac:dyDescent="0.2">
      <c r="B82" s="742" t="s">
        <v>197</v>
      </c>
      <c r="C82" s="743"/>
      <c r="D82" s="743"/>
      <c r="E82" s="743"/>
      <c r="F82" s="743"/>
      <c r="H82" s="81"/>
      <c r="J82" s="81"/>
      <c r="K82" s="88"/>
      <c r="L82" s="81"/>
      <c r="N82" s="227"/>
      <c r="R82" s="79" t="str">
        <f>IF(AND(($L80&gt;0),ISBLANK(B84)),B82,"NOT")</f>
        <v>NOT</v>
      </c>
    </row>
    <row r="83" spans="1:22" ht="3" customHeight="1" x14ac:dyDescent="0.2">
      <c r="B83" s="104"/>
      <c r="C83" s="88"/>
      <c r="D83" s="81"/>
      <c r="F83" s="81"/>
      <c r="H83" s="81"/>
      <c r="J83" s="81"/>
      <c r="K83" s="88"/>
      <c r="L83" s="81"/>
      <c r="N83" s="227"/>
    </row>
    <row r="84" spans="1:22" ht="50.25" customHeight="1" x14ac:dyDescent="0.2">
      <c r="B84" s="744"/>
      <c r="C84" s="745"/>
      <c r="D84" s="745"/>
      <c r="E84" s="745"/>
      <c r="F84" s="745"/>
      <c r="G84" s="745"/>
      <c r="H84" s="745"/>
      <c r="I84" s="745"/>
      <c r="J84" s="745"/>
      <c r="K84" s="745"/>
      <c r="L84" s="746"/>
      <c r="M84" s="70" t="s">
        <v>19</v>
      </c>
      <c r="N84" s="227"/>
    </row>
    <row r="85" spans="1:22" ht="3.75" customHeight="1" x14ac:dyDescent="0.2">
      <c r="B85" s="104"/>
      <c r="C85" s="88"/>
      <c r="D85" s="81"/>
      <c r="F85" s="81"/>
      <c r="H85" s="81"/>
      <c r="J85" s="81"/>
      <c r="K85" s="88"/>
      <c r="L85" s="81"/>
      <c r="N85" s="227"/>
    </row>
    <row r="86" spans="1:22" ht="12.75" customHeight="1" x14ac:dyDescent="0.2">
      <c r="B86" s="244" t="s">
        <v>17</v>
      </c>
      <c r="C86" s="88"/>
      <c r="D86" s="244" t="s">
        <v>580</v>
      </c>
      <c r="F86" s="244" t="s">
        <v>205</v>
      </c>
      <c r="H86" s="244" t="s">
        <v>16</v>
      </c>
      <c r="J86" s="244" t="s">
        <v>15</v>
      </c>
      <c r="K86" s="245"/>
      <c r="L86" s="103" t="s">
        <v>141</v>
      </c>
      <c r="N86" s="81"/>
      <c r="R86" s="255" t="str">
        <f>IF(AND(R87="NOT",R88="NOT",R89="NOT",R90="NOT",R91="NOT",R92="NOT",R93="NOT",R94="NOT",R95="NOT",R96="NOT",R82="NOT"),"NOT",D80)</f>
        <v>NOT</v>
      </c>
      <c r="S86" s="255" t="str">
        <f>IF(AND(S87="NOT",S88="NOT",S89="NOT",S90="NOT",S91="NOT",S92="NOT",S93="NOT",S94="NOT",S95="NOT",S96="NOT",R82="NOT"),"NOT",D80)</f>
        <v>NOT</v>
      </c>
      <c r="T86" s="255" t="str">
        <f>IF(AND(T87="NOT",T88="NOT",T89="NOT",T90="NOT",T91="NOT",T92="NOT",T93="NOT",T94="NOT",T95="NOT",T96="NOT",R82="NOT"),"NOT",D80)</f>
        <v>NOT</v>
      </c>
    </row>
    <row r="87" spans="1:22" x14ac:dyDescent="0.2">
      <c r="B87" s="259"/>
      <c r="C87" s="88"/>
      <c r="D87" s="260"/>
      <c r="E87" s="243"/>
      <c r="F87" s="261"/>
      <c r="G87" s="243"/>
      <c r="H87" s="262"/>
      <c r="I87" s="243"/>
      <c r="J87" s="262"/>
      <c r="K87" s="88"/>
      <c r="L87" s="143">
        <f t="shared" ref="L87:L96" si="13">TRUNC(H87*J87,2)</f>
        <v>0</v>
      </c>
      <c r="N87" s="81"/>
      <c r="R87" s="79" t="str">
        <f t="shared" ref="R87:R96" si="14">IF(AND(($L87&gt;0),ISBLANK(B87)),B87,"NOT")</f>
        <v>NOT</v>
      </c>
      <c r="S87" s="79" t="str">
        <f t="shared" ref="S87:S96" si="15">IF(AND(($L87&gt;0),ISBLANK(D87)),D87,"NOT")</f>
        <v>NOT</v>
      </c>
      <c r="T87" s="79" t="str">
        <f t="shared" ref="T87:T96" si="16">IF(AND(($L87&gt;0),ISBLANK(F87)),F87,"NOT")</f>
        <v>NOT</v>
      </c>
      <c r="V87" s="79" t="str">
        <f t="shared" ref="V87:V96" si="17">LEFT(D87,3)</f>
        <v/>
      </c>
    </row>
    <row r="88" spans="1:22" x14ac:dyDescent="0.2">
      <c r="B88" s="259"/>
      <c r="C88" s="88"/>
      <c r="D88" s="260"/>
      <c r="E88" s="243"/>
      <c r="F88" s="261"/>
      <c r="G88" s="243"/>
      <c r="H88" s="262"/>
      <c r="I88" s="243"/>
      <c r="J88" s="262"/>
      <c r="K88" s="88"/>
      <c r="L88" s="143">
        <f t="shared" si="13"/>
        <v>0</v>
      </c>
      <c r="N88" s="81"/>
      <c r="R88" s="79" t="str">
        <f t="shared" si="14"/>
        <v>NOT</v>
      </c>
      <c r="S88" s="79" t="str">
        <f t="shared" si="15"/>
        <v>NOT</v>
      </c>
      <c r="T88" s="79" t="str">
        <f t="shared" si="16"/>
        <v>NOT</v>
      </c>
      <c r="V88" s="79" t="str">
        <f t="shared" si="17"/>
        <v/>
      </c>
    </row>
    <row r="89" spans="1:22" x14ac:dyDescent="0.2">
      <c r="B89" s="259"/>
      <c r="C89" s="88"/>
      <c r="D89" s="260"/>
      <c r="E89" s="243"/>
      <c r="F89" s="261"/>
      <c r="G89" s="243"/>
      <c r="H89" s="262"/>
      <c r="I89" s="243"/>
      <c r="J89" s="262"/>
      <c r="K89" s="88"/>
      <c r="L89" s="143">
        <f t="shared" si="13"/>
        <v>0</v>
      </c>
      <c r="N89" s="81"/>
      <c r="R89" s="79" t="str">
        <f t="shared" si="14"/>
        <v>NOT</v>
      </c>
      <c r="S89" s="79" t="str">
        <f t="shared" si="15"/>
        <v>NOT</v>
      </c>
      <c r="T89" s="79" t="str">
        <f t="shared" si="16"/>
        <v>NOT</v>
      </c>
      <c r="V89" s="79" t="str">
        <f t="shared" si="17"/>
        <v/>
      </c>
    </row>
    <row r="90" spans="1:22" x14ac:dyDescent="0.2">
      <c r="B90" s="259"/>
      <c r="C90" s="88"/>
      <c r="D90" s="260"/>
      <c r="E90" s="243"/>
      <c r="F90" s="261"/>
      <c r="G90" s="243"/>
      <c r="H90" s="262"/>
      <c r="I90" s="243"/>
      <c r="J90" s="262"/>
      <c r="K90" s="88"/>
      <c r="L90" s="143">
        <f t="shared" si="13"/>
        <v>0</v>
      </c>
      <c r="N90" s="81"/>
      <c r="R90" s="79" t="str">
        <f t="shared" si="14"/>
        <v>NOT</v>
      </c>
      <c r="S90" s="79" t="str">
        <f t="shared" si="15"/>
        <v>NOT</v>
      </c>
      <c r="T90" s="79" t="str">
        <f t="shared" si="16"/>
        <v>NOT</v>
      </c>
      <c r="V90" s="79" t="str">
        <f t="shared" si="17"/>
        <v/>
      </c>
    </row>
    <row r="91" spans="1:22" x14ac:dyDescent="0.2">
      <c r="B91" s="259"/>
      <c r="C91" s="88"/>
      <c r="D91" s="260"/>
      <c r="E91" s="243"/>
      <c r="F91" s="261"/>
      <c r="G91" s="243"/>
      <c r="H91" s="262"/>
      <c r="I91" s="243"/>
      <c r="J91" s="262"/>
      <c r="K91" s="88"/>
      <c r="L91" s="143">
        <f t="shared" si="13"/>
        <v>0</v>
      </c>
      <c r="N91" s="81"/>
      <c r="R91" s="79" t="str">
        <f t="shared" si="14"/>
        <v>NOT</v>
      </c>
      <c r="S91" s="79" t="str">
        <f t="shared" si="15"/>
        <v>NOT</v>
      </c>
      <c r="T91" s="79" t="str">
        <f t="shared" si="16"/>
        <v>NOT</v>
      </c>
      <c r="V91" s="79" t="str">
        <f t="shared" si="17"/>
        <v/>
      </c>
    </row>
    <row r="92" spans="1:22" x14ac:dyDescent="0.2">
      <c r="B92" s="259"/>
      <c r="C92" s="88"/>
      <c r="D92" s="260"/>
      <c r="E92" s="243"/>
      <c r="F92" s="261"/>
      <c r="G92" s="243"/>
      <c r="H92" s="262"/>
      <c r="I92" s="243"/>
      <c r="J92" s="262"/>
      <c r="K92" s="88"/>
      <c r="L92" s="143">
        <f t="shared" si="13"/>
        <v>0</v>
      </c>
      <c r="N92" s="81"/>
      <c r="R92" s="79" t="str">
        <f t="shared" si="14"/>
        <v>NOT</v>
      </c>
      <c r="S92" s="79" t="str">
        <f t="shared" si="15"/>
        <v>NOT</v>
      </c>
      <c r="T92" s="79" t="str">
        <f t="shared" si="16"/>
        <v>NOT</v>
      </c>
      <c r="V92" s="79" t="str">
        <f t="shared" si="17"/>
        <v/>
      </c>
    </row>
    <row r="93" spans="1:22" x14ac:dyDescent="0.2">
      <c r="B93" s="259"/>
      <c r="C93" s="88"/>
      <c r="D93" s="260"/>
      <c r="E93" s="243"/>
      <c r="F93" s="261"/>
      <c r="G93" s="243"/>
      <c r="H93" s="262"/>
      <c r="I93" s="243"/>
      <c r="J93" s="262"/>
      <c r="K93" s="88"/>
      <c r="L93" s="143">
        <f t="shared" si="13"/>
        <v>0</v>
      </c>
      <c r="N93" s="81"/>
      <c r="R93" s="79" t="str">
        <f t="shared" si="14"/>
        <v>NOT</v>
      </c>
      <c r="S93" s="79" t="str">
        <f t="shared" si="15"/>
        <v>NOT</v>
      </c>
      <c r="T93" s="79" t="str">
        <f t="shared" si="16"/>
        <v>NOT</v>
      </c>
      <c r="V93" s="79" t="str">
        <f t="shared" si="17"/>
        <v/>
      </c>
    </row>
    <row r="94" spans="1:22" x14ac:dyDescent="0.2">
      <c r="B94" s="259"/>
      <c r="C94" s="88"/>
      <c r="D94" s="260"/>
      <c r="E94" s="243"/>
      <c r="F94" s="261"/>
      <c r="G94" s="243"/>
      <c r="H94" s="262"/>
      <c r="I94" s="243"/>
      <c r="J94" s="262"/>
      <c r="K94" s="88"/>
      <c r="L94" s="143">
        <f t="shared" si="13"/>
        <v>0</v>
      </c>
      <c r="N94" s="81"/>
      <c r="R94" s="79" t="str">
        <f t="shared" si="14"/>
        <v>NOT</v>
      </c>
      <c r="S94" s="79" t="str">
        <f t="shared" si="15"/>
        <v>NOT</v>
      </c>
      <c r="T94" s="79" t="str">
        <f t="shared" si="16"/>
        <v>NOT</v>
      </c>
      <c r="V94" s="79" t="str">
        <f t="shared" si="17"/>
        <v/>
      </c>
    </row>
    <row r="95" spans="1:22" x14ac:dyDescent="0.2">
      <c r="B95" s="259"/>
      <c r="C95" s="88"/>
      <c r="D95" s="260"/>
      <c r="E95" s="243"/>
      <c r="F95" s="261"/>
      <c r="G95" s="243"/>
      <c r="H95" s="262"/>
      <c r="I95" s="243"/>
      <c r="J95" s="262"/>
      <c r="K95" s="88"/>
      <c r="L95" s="143">
        <f t="shared" si="13"/>
        <v>0</v>
      </c>
      <c r="N95" s="81"/>
      <c r="R95" s="79" t="str">
        <f t="shared" si="14"/>
        <v>NOT</v>
      </c>
      <c r="S95" s="79" t="str">
        <f t="shared" si="15"/>
        <v>NOT</v>
      </c>
      <c r="T95" s="79" t="str">
        <f t="shared" si="16"/>
        <v>NOT</v>
      </c>
      <c r="V95" s="79" t="str">
        <f t="shared" si="17"/>
        <v/>
      </c>
    </row>
    <row r="96" spans="1:22" x14ac:dyDescent="0.2">
      <c r="B96" s="259"/>
      <c r="C96" s="88"/>
      <c r="D96" s="260"/>
      <c r="E96" s="243"/>
      <c r="F96" s="261"/>
      <c r="G96" s="243"/>
      <c r="H96" s="262"/>
      <c r="I96" s="243"/>
      <c r="J96" s="262"/>
      <c r="K96" s="88"/>
      <c r="L96" s="143">
        <f t="shared" si="13"/>
        <v>0</v>
      </c>
      <c r="N96" s="81"/>
      <c r="R96" s="79" t="str">
        <f t="shared" si="14"/>
        <v>NOT</v>
      </c>
      <c r="S96" s="79" t="str">
        <f t="shared" si="15"/>
        <v>NOT</v>
      </c>
      <c r="T96" s="79" t="str">
        <f t="shared" si="16"/>
        <v>NOT</v>
      </c>
      <c r="V96" s="79" t="str">
        <f t="shared" si="17"/>
        <v/>
      </c>
    </row>
    <row r="97" spans="1:22" x14ac:dyDescent="0.2">
      <c r="B97" s="104"/>
      <c r="C97" s="88"/>
      <c r="D97" s="81"/>
      <c r="F97" s="81"/>
      <c r="H97" s="81"/>
      <c r="J97" s="81"/>
      <c r="K97" s="88"/>
      <c r="L97" s="81"/>
      <c r="N97" s="227"/>
    </row>
    <row r="98" spans="1:22" x14ac:dyDescent="0.2">
      <c r="B98" s="104"/>
      <c r="C98" s="88"/>
      <c r="D98" s="81"/>
      <c r="F98" s="81"/>
      <c r="H98" s="81"/>
      <c r="J98" s="81"/>
      <c r="K98" s="88"/>
      <c r="L98" s="81"/>
      <c r="N98" s="227"/>
    </row>
    <row r="99" spans="1:22" ht="27" customHeight="1" x14ac:dyDescent="0.2">
      <c r="A99" s="247">
        <v>5</v>
      </c>
      <c r="B99" s="248" t="s">
        <v>290</v>
      </c>
      <c r="C99" s="249"/>
      <c r="D99" s="760"/>
      <c r="E99" s="761"/>
      <c r="F99" s="761"/>
      <c r="G99" s="761"/>
      <c r="H99" s="762"/>
      <c r="I99" s="250"/>
      <c r="J99" s="251" t="s">
        <v>18</v>
      </c>
      <c r="K99" s="249"/>
      <c r="L99" s="252">
        <f>L101+L112+L130+L148+L162+L174+L192</f>
        <v>0</v>
      </c>
      <c r="M99" s="250"/>
      <c r="N99" s="253">
        <f>IF(L99=0,0%,L99/L$8)</f>
        <v>0</v>
      </c>
      <c r="O99" s="94"/>
      <c r="P99" s="95"/>
      <c r="Q99" s="79" t="str">
        <f>IF(N99&gt;O99,D99,"")</f>
        <v/>
      </c>
    </row>
    <row r="100" spans="1:22" s="76" customFormat="1" ht="7.5" customHeight="1" x14ac:dyDescent="0.2">
      <c r="A100" s="87"/>
      <c r="B100" s="88"/>
      <c r="C100" s="88"/>
      <c r="D100" s="70"/>
      <c r="E100" s="70"/>
      <c r="F100" s="70"/>
      <c r="G100" s="70"/>
      <c r="H100" s="70"/>
      <c r="I100" s="70"/>
      <c r="J100" s="70"/>
      <c r="K100" s="88"/>
      <c r="L100" s="70"/>
      <c r="M100" s="70"/>
      <c r="N100" s="70"/>
      <c r="O100" s="89"/>
      <c r="V100" s="79"/>
    </row>
    <row r="101" spans="1:22" ht="13.5" customHeight="1" x14ac:dyDescent="0.2">
      <c r="A101" s="276"/>
      <c r="B101" s="278" t="s">
        <v>291</v>
      </c>
      <c r="C101" s="277"/>
      <c r="D101" s="747" t="s">
        <v>166</v>
      </c>
      <c r="E101" s="748"/>
      <c r="F101" s="748"/>
      <c r="G101" s="748"/>
      <c r="H101" s="748"/>
      <c r="I101" s="279"/>
      <c r="J101" s="280" t="s">
        <v>18</v>
      </c>
      <c r="K101" s="88"/>
      <c r="L101" s="156">
        <f>SUM(L108:L110)</f>
        <v>0</v>
      </c>
      <c r="M101" s="246"/>
      <c r="N101" s="147">
        <f>IF(L101=0,0%,L101/L$8)</f>
        <v>0</v>
      </c>
      <c r="O101" s="495">
        <f>IF(LEN(R101)&gt;3,1,0)</f>
        <v>0</v>
      </c>
      <c r="R101" s="79" t="str">
        <f>IF(AND(R107="NOT",S107="NOT",T107="NOT"),"NOT",D101)</f>
        <v>NOT</v>
      </c>
    </row>
    <row r="102" spans="1:22" s="76" customFormat="1" ht="3" customHeight="1" x14ac:dyDescent="0.2">
      <c r="A102" s="87"/>
      <c r="B102" s="88"/>
      <c r="C102" s="88"/>
      <c r="D102" s="70"/>
      <c r="E102" s="70"/>
      <c r="F102" s="70"/>
      <c r="G102" s="70"/>
      <c r="H102" s="70"/>
      <c r="I102" s="70"/>
      <c r="J102" s="70"/>
      <c r="K102" s="88"/>
      <c r="L102" s="70"/>
      <c r="M102" s="70"/>
      <c r="N102" s="70"/>
      <c r="O102" s="89"/>
      <c r="V102" s="79"/>
    </row>
    <row r="103" spans="1:22" x14ac:dyDescent="0.2">
      <c r="B103" s="742" t="s">
        <v>197</v>
      </c>
      <c r="C103" s="743"/>
      <c r="D103" s="743"/>
      <c r="E103" s="743"/>
      <c r="F103" s="743"/>
      <c r="H103" s="81"/>
      <c r="J103" s="81"/>
      <c r="K103" s="88"/>
      <c r="L103" s="81"/>
      <c r="N103" s="227"/>
      <c r="R103" s="79" t="str">
        <f>IF(AND(($L101&gt;0),ISBLANK(B105)),B103,"NOT")</f>
        <v>NOT</v>
      </c>
    </row>
    <row r="104" spans="1:22" ht="3" customHeight="1" x14ac:dyDescent="0.2">
      <c r="B104" s="104"/>
      <c r="C104" s="88"/>
      <c r="D104" s="81"/>
      <c r="F104" s="81"/>
      <c r="H104" s="81"/>
      <c r="J104" s="81"/>
      <c r="K104" s="88"/>
      <c r="L104" s="81"/>
      <c r="N104" s="227"/>
    </row>
    <row r="105" spans="1:22" ht="36" customHeight="1" x14ac:dyDescent="0.2">
      <c r="B105" s="744"/>
      <c r="C105" s="745"/>
      <c r="D105" s="745"/>
      <c r="E105" s="745"/>
      <c r="F105" s="745"/>
      <c r="G105" s="745"/>
      <c r="H105" s="745"/>
      <c r="I105" s="745"/>
      <c r="J105" s="745"/>
      <c r="K105" s="745"/>
      <c r="L105" s="746"/>
      <c r="M105" s="70" t="s">
        <v>19</v>
      </c>
      <c r="N105" s="227"/>
    </row>
    <row r="106" spans="1:22" ht="3.75" customHeight="1" x14ac:dyDescent="0.2">
      <c r="B106" s="104"/>
      <c r="C106" s="88"/>
      <c r="D106" s="81"/>
      <c r="F106" s="81"/>
      <c r="H106" s="81"/>
      <c r="J106" s="81"/>
      <c r="K106" s="88"/>
      <c r="L106" s="81"/>
      <c r="N106" s="227"/>
    </row>
    <row r="107" spans="1:22" ht="12.75" customHeight="1" x14ac:dyDescent="0.2">
      <c r="B107" s="244" t="s">
        <v>17</v>
      </c>
      <c r="C107" s="88"/>
      <c r="D107" s="244" t="s">
        <v>580</v>
      </c>
      <c r="F107" s="244" t="s">
        <v>205</v>
      </c>
      <c r="H107" s="244" t="s">
        <v>16</v>
      </c>
      <c r="J107" s="244" t="s">
        <v>15</v>
      </c>
      <c r="K107" s="245"/>
      <c r="L107" s="103" t="s">
        <v>141</v>
      </c>
      <c r="N107" s="81"/>
      <c r="R107" s="255" t="str">
        <f>IF(AND(R108="NOT",R109="NOT",R110="NOT",R103="NOT"),"NOT",D101)</f>
        <v>NOT</v>
      </c>
      <c r="S107" s="255" t="str">
        <f>IF(AND(S108="NOT",S109="NOT",S110="NOT",R103="NOT"),"NOT",D101)</f>
        <v>NOT</v>
      </c>
      <c r="T107" s="255" t="str">
        <f>IF(AND(T108="NOT",T109="NOT",T110="NOT",R103="NOT"),"NOT",D101)</f>
        <v>NOT</v>
      </c>
    </row>
    <row r="108" spans="1:22" x14ac:dyDescent="0.2">
      <c r="B108" s="259"/>
      <c r="C108" s="88"/>
      <c r="D108" s="260"/>
      <c r="E108" s="243"/>
      <c r="F108" s="261"/>
      <c r="G108" s="243"/>
      <c r="H108" s="262"/>
      <c r="I108" s="243"/>
      <c r="J108" s="262"/>
      <c r="K108" s="88"/>
      <c r="L108" s="143">
        <f>TRUNC(H108*J108,2)</f>
        <v>0</v>
      </c>
      <c r="N108" s="81"/>
      <c r="R108" s="79" t="str">
        <f>IF(AND(($L108&gt;0),ISBLANK(B108)),B108,"NOT")</f>
        <v>NOT</v>
      </c>
      <c r="S108" s="79" t="str">
        <f>IF(AND(($L108&gt;0),ISBLANK(D108)),D108,"NOT")</f>
        <v>NOT</v>
      </c>
      <c r="T108" s="79" t="str">
        <f>IF(AND(($L108&gt;0),ISBLANK(F108)),F108,"NOT")</f>
        <v>NOT</v>
      </c>
      <c r="V108" s="79" t="str">
        <f>LEFT(D108,3)</f>
        <v/>
      </c>
    </row>
    <row r="109" spans="1:22" x14ac:dyDescent="0.2">
      <c r="B109" s="259"/>
      <c r="C109" s="88"/>
      <c r="D109" s="260"/>
      <c r="E109" s="243"/>
      <c r="F109" s="261"/>
      <c r="G109" s="243"/>
      <c r="H109" s="262"/>
      <c r="I109" s="243"/>
      <c r="J109" s="262"/>
      <c r="K109" s="88"/>
      <c r="L109" s="143">
        <f>TRUNC(H109*J109,2)</f>
        <v>0</v>
      </c>
      <c r="N109" s="81"/>
      <c r="R109" s="79" t="str">
        <f>IF(AND(($L109&gt;0),ISBLANK(B109)),B109,"NOT")</f>
        <v>NOT</v>
      </c>
      <c r="S109" s="79" t="str">
        <f>IF(AND(($L109&gt;0),ISBLANK(D109)),D109,"NOT")</f>
        <v>NOT</v>
      </c>
      <c r="T109" s="79" t="str">
        <f>IF(AND(($L109&gt;0),ISBLANK(F109)),F109,"NOT")</f>
        <v>NOT</v>
      </c>
      <c r="V109" s="79" t="str">
        <f>LEFT(D109,3)</f>
        <v/>
      </c>
    </row>
    <row r="110" spans="1:22" x14ac:dyDescent="0.2">
      <c r="B110" s="259"/>
      <c r="C110" s="88"/>
      <c r="D110" s="260"/>
      <c r="E110" s="243"/>
      <c r="F110" s="261"/>
      <c r="G110" s="243"/>
      <c r="H110" s="262"/>
      <c r="I110" s="243"/>
      <c r="J110" s="262"/>
      <c r="K110" s="88"/>
      <c r="L110" s="143">
        <f>TRUNC(H110*J110,2)</f>
        <v>0</v>
      </c>
      <c r="N110" s="81"/>
      <c r="R110" s="79" t="str">
        <f>IF(AND(($L110&gt;0),ISBLANK(B110)),B110,"NOT")</f>
        <v>NOT</v>
      </c>
      <c r="S110" s="79" t="str">
        <f>IF(AND(($L110&gt;0),ISBLANK(D110)),D110,"NOT")</f>
        <v>NOT</v>
      </c>
      <c r="T110" s="79" t="str">
        <f>IF(AND(($L110&gt;0),ISBLANK(F110)),F110,"NOT")</f>
        <v>NOT</v>
      </c>
      <c r="V110" s="79" t="str">
        <f>LEFT(D110,3)</f>
        <v/>
      </c>
    </row>
    <row r="111" spans="1:22" x14ac:dyDescent="0.2">
      <c r="B111" s="104"/>
      <c r="C111" s="88"/>
      <c r="D111" s="81"/>
      <c r="F111" s="81"/>
      <c r="H111" s="81"/>
      <c r="J111" s="81"/>
      <c r="K111" s="88"/>
      <c r="L111" s="81"/>
      <c r="N111" s="227"/>
    </row>
    <row r="112" spans="1:22" ht="25.5" customHeight="1" x14ac:dyDescent="0.2">
      <c r="A112" s="276"/>
      <c r="B112" s="278" t="s">
        <v>292</v>
      </c>
      <c r="C112" s="277"/>
      <c r="D112" s="747" t="s">
        <v>166</v>
      </c>
      <c r="E112" s="748"/>
      <c r="F112" s="748"/>
      <c r="G112" s="748"/>
      <c r="H112" s="748"/>
      <c r="I112" s="279"/>
      <c r="J112" s="280" t="s">
        <v>18</v>
      </c>
      <c r="K112" s="88"/>
      <c r="L112" s="156">
        <f>SUM(L119:L128)</f>
        <v>0</v>
      </c>
      <c r="M112" s="246"/>
      <c r="N112" s="147">
        <f>IF(L112=0,0%,L112/L$8)</f>
        <v>0</v>
      </c>
      <c r="O112" s="495">
        <f>IF(LEN(R112)&gt;3,1,0)</f>
        <v>0</v>
      </c>
      <c r="R112" s="79" t="str">
        <f>IF(AND(R118="NOT",S118="NOT",T118="NOT"),"NOT",D112)</f>
        <v>NOT</v>
      </c>
    </row>
    <row r="113" spans="1:22" s="76" customFormat="1" ht="3" customHeight="1" x14ac:dyDescent="0.2">
      <c r="A113" s="87"/>
      <c r="B113" s="88"/>
      <c r="C113" s="88"/>
      <c r="D113" s="70"/>
      <c r="E113" s="70"/>
      <c r="F113" s="70"/>
      <c r="G113" s="70"/>
      <c r="H113" s="70"/>
      <c r="I113" s="70"/>
      <c r="J113" s="70"/>
      <c r="K113" s="88"/>
      <c r="L113" s="70"/>
      <c r="M113" s="70"/>
      <c r="N113" s="70"/>
      <c r="O113" s="89"/>
      <c r="V113" s="79"/>
    </row>
    <row r="114" spans="1:22" ht="25.5" customHeight="1" x14ac:dyDescent="0.2">
      <c r="B114" s="749" t="s">
        <v>203</v>
      </c>
      <c r="C114" s="787"/>
      <c r="D114" s="787"/>
      <c r="E114" s="787"/>
      <c r="F114" s="787"/>
      <c r="H114" s="81"/>
      <c r="J114" s="81"/>
      <c r="K114" s="88"/>
      <c r="L114" s="81"/>
      <c r="N114" s="227"/>
      <c r="R114" s="79" t="str">
        <f>IF(AND(($L112&gt;0),ISBLANK(B116)),B114,"NOT")</f>
        <v>NOT</v>
      </c>
    </row>
    <row r="115" spans="1:22" ht="3" customHeight="1" x14ac:dyDescent="0.2">
      <c r="B115" s="104"/>
      <c r="C115" s="88"/>
      <c r="D115" s="81"/>
      <c r="F115" s="81"/>
      <c r="H115" s="81"/>
      <c r="J115" s="81"/>
      <c r="K115" s="88"/>
      <c r="L115" s="81"/>
      <c r="N115" s="227"/>
    </row>
    <row r="116" spans="1:22" ht="60" customHeight="1" x14ac:dyDescent="0.2">
      <c r="B116" s="744"/>
      <c r="C116" s="745"/>
      <c r="D116" s="745"/>
      <c r="E116" s="745"/>
      <c r="F116" s="745"/>
      <c r="G116" s="745"/>
      <c r="H116" s="745"/>
      <c r="I116" s="745"/>
      <c r="J116" s="745"/>
      <c r="K116" s="745"/>
      <c r="L116" s="746"/>
      <c r="M116" s="70" t="s">
        <v>19</v>
      </c>
      <c r="N116" s="227"/>
    </row>
    <row r="117" spans="1:22" ht="3.75" customHeight="1" x14ac:dyDescent="0.2">
      <c r="B117" s="104"/>
      <c r="C117" s="88"/>
      <c r="D117" s="81"/>
      <c r="F117" s="81"/>
      <c r="H117" s="81"/>
      <c r="J117" s="81"/>
      <c r="K117" s="88"/>
      <c r="L117" s="81"/>
      <c r="N117" s="227"/>
    </row>
    <row r="118" spans="1:22" ht="25.5" x14ac:dyDescent="0.2">
      <c r="B118" s="244" t="s">
        <v>579</v>
      </c>
      <c r="C118" s="88"/>
      <c r="D118" s="244" t="s">
        <v>580</v>
      </c>
      <c r="F118" s="244" t="s">
        <v>205</v>
      </c>
      <c r="H118" s="244" t="s">
        <v>16</v>
      </c>
      <c r="J118" s="244" t="s">
        <v>15</v>
      </c>
      <c r="K118" s="245"/>
      <c r="L118" s="103" t="s">
        <v>141</v>
      </c>
      <c r="N118" s="81"/>
      <c r="R118" s="255" t="str">
        <f>IF(AND(R119="NOT",R120="NOT",R121="NOT",R122="NOT",R123="NOT",R124="NOT",R125="NOT",R126="NOT",R127="NOT",R128="NOT",R114="NOT"),"NOT",D112)</f>
        <v>NOT</v>
      </c>
      <c r="S118" s="255" t="str">
        <f>IF(AND(S119="NOT",S120="NOT",S121="NOT",S122="NOT",S123="NOT",S124="NOT",S125="NOT",S126="NOT",S127="NOT",S128="NOT",R114="NOT"),"NOT",D112)</f>
        <v>NOT</v>
      </c>
      <c r="T118" s="255" t="str">
        <f>IF(AND(T119="NOT",T120="NOT",T121="NOT",T122="NOT",T123="NOT",T124="NOT",T125="NOT",T126="NOT",T127="NOT",T128="NOT",R114="NOT"),"NOT",D112)</f>
        <v>NOT</v>
      </c>
    </row>
    <row r="119" spans="1:22" x14ac:dyDescent="0.2">
      <c r="B119" s="259"/>
      <c r="C119" s="88"/>
      <c r="D119" s="260"/>
      <c r="E119" s="243"/>
      <c r="F119" s="261"/>
      <c r="G119" s="243"/>
      <c r="H119" s="262"/>
      <c r="I119" s="243"/>
      <c r="J119" s="262"/>
      <c r="K119" s="88"/>
      <c r="L119" s="143">
        <f t="shared" ref="L119:L128" si="18">TRUNC(H119*J119,2)</f>
        <v>0</v>
      </c>
      <c r="N119" s="81"/>
      <c r="R119" s="79" t="str">
        <f t="shared" ref="R119:R128" si="19">IF(AND(($L119&gt;0),ISBLANK(B119)),B119,"NOT")</f>
        <v>NOT</v>
      </c>
      <c r="S119" s="79" t="str">
        <f t="shared" ref="S119:S128" si="20">IF(AND(($L119&gt;0),ISBLANK(D119)),D119,"NOT")</f>
        <v>NOT</v>
      </c>
      <c r="T119" s="79" t="str">
        <f t="shared" ref="T119:T128" si="21">IF(AND(($L119&gt;0),ISBLANK(F119)),F119,"NOT")</f>
        <v>NOT</v>
      </c>
      <c r="V119" s="79" t="str">
        <f t="shared" ref="V119:V128" si="22">LEFT(D119,3)</f>
        <v/>
      </c>
    </row>
    <row r="120" spans="1:22" x14ac:dyDescent="0.2">
      <c r="B120" s="259"/>
      <c r="C120" s="88"/>
      <c r="D120" s="260"/>
      <c r="E120" s="243"/>
      <c r="F120" s="261"/>
      <c r="G120" s="243"/>
      <c r="H120" s="262"/>
      <c r="I120" s="243"/>
      <c r="J120" s="262"/>
      <c r="K120" s="88"/>
      <c r="L120" s="143">
        <f t="shared" si="18"/>
        <v>0</v>
      </c>
      <c r="N120" s="81"/>
      <c r="R120" s="79" t="str">
        <f t="shared" si="19"/>
        <v>NOT</v>
      </c>
      <c r="S120" s="79" t="str">
        <f t="shared" si="20"/>
        <v>NOT</v>
      </c>
      <c r="T120" s="79" t="str">
        <f t="shared" si="21"/>
        <v>NOT</v>
      </c>
      <c r="V120" s="79" t="str">
        <f t="shared" si="22"/>
        <v/>
      </c>
    </row>
    <row r="121" spans="1:22" x14ac:dyDescent="0.2">
      <c r="B121" s="259"/>
      <c r="C121" s="88"/>
      <c r="D121" s="260"/>
      <c r="E121" s="243"/>
      <c r="F121" s="261"/>
      <c r="G121" s="243"/>
      <c r="H121" s="262"/>
      <c r="I121" s="243"/>
      <c r="J121" s="262"/>
      <c r="K121" s="88"/>
      <c r="L121" s="143">
        <f t="shared" si="18"/>
        <v>0</v>
      </c>
      <c r="N121" s="81"/>
      <c r="R121" s="79" t="str">
        <f t="shared" si="19"/>
        <v>NOT</v>
      </c>
      <c r="S121" s="79" t="str">
        <f t="shared" si="20"/>
        <v>NOT</v>
      </c>
      <c r="T121" s="79" t="str">
        <f t="shared" si="21"/>
        <v>NOT</v>
      </c>
      <c r="V121" s="79" t="str">
        <f t="shared" si="22"/>
        <v/>
      </c>
    </row>
    <row r="122" spans="1:22" x14ac:dyDescent="0.2">
      <c r="B122" s="259"/>
      <c r="C122" s="88"/>
      <c r="D122" s="260"/>
      <c r="E122" s="243"/>
      <c r="F122" s="261"/>
      <c r="G122" s="243"/>
      <c r="H122" s="262"/>
      <c r="I122" s="243"/>
      <c r="J122" s="262"/>
      <c r="K122" s="88"/>
      <c r="L122" s="143">
        <f t="shared" si="18"/>
        <v>0</v>
      </c>
      <c r="N122" s="81"/>
      <c r="R122" s="79" t="str">
        <f t="shared" si="19"/>
        <v>NOT</v>
      </c>
      <c r="S122" s="79" t="str">
        <f t="shared" si="20"/>
        <v>NOT</v>
      </c>
      <c r="T122" s="79" t="str">
        <f t="shared" si="21"/>
        <v>NOT</v>
      </c>
      <c r="V122" s="79" t="str">
        <f t="shared" si="22"/>
        <v/>
      </c>
    </row>
    <row r="123" spans="1:22" x14ac:dyDescent="0.2">
      <c r="B123" s="259"/>
      <c r="C123" s="88"/>
      <c r="D123" s="260"/>
      <c r="E123" s="243"/>
      <c r="F123" s="261"/>
      <c r="G123" s="243"/>
      <c r="H123" s="262"/>
      <c r="I123" s="243"/>
      <c r="J123" s="262"/>
      <c r="K123" s="88"/>
      <c r="L123" s="143">
        <f t="shared" si="18"/>
        <v>0</v>
      </c>
      <c r="N123" s="81"/>
      <c r="R123" s="79" t="str">
        <f t="shared" si="19"/>
        <v>NOT</v>
      </c>
      <c r="S123" s="79" t="str">
        <f t="shared" si="20"/>
        <v>NOT</v>
      </c>
      <c r="T123" s="79" t="str">
        <f t="shared" si="21"/>
        <v>NOT</v>
      </c>
      <c r="V123" s="79" t="str">
        <f t="shared" si="22"/>
        <v/>
      </c>
    </row>
    <row r="124" spans="1:22" x14ac:dyDescent="0.2">
      <c r="B124" s="259"/>
      <c r="C124" s="88"/>
      <c r="D124" s="260"/>
      <c r="E124" s="243"/>
      <c r="F124" s="261"/>
      <c r="G124" s="243"/>
      <c r="H124" s="262"/>
      <c r="I124" s="243"/>
      <c r="J124" s="262"/>
      <c r="K124" s="88"/>
      <c r="L124" s="143">
        <f t="shared" si="18"/>
        <v>0</v>
      </c>
      <c r="N124" s="81"/>
      <c r="R124" s="79" t="str">
        <f t="shared" si="19"/>
        <v>NOT</v>
      </c>
      <c r="S124" s="79" t="str">
        <f t="shared" si="20"/>
        <v>NOT</v>
      </c>
      <c r="T124" s="79" t="str">
        <f t="shared" si="21"/>
        <v>NOT</v>
      </c>
      <c r="V124" s="79" t="str">
        <f t="shared" si="22"/>
        <v/>
      </c>
    </row>
    <row r="125" spans="1:22" x14ac:dyDescent="0.2">
      <c r="B125" s="259"/>
      <c r="C125" s="88"/>
      <c r="D125" s="260"/>
      <c r="E125" s="243"/>
      <c r="F125" s="261"/>
      <c r="G125" s="243"/>
      <c r="H125" s="262"/>
      <c r="I125" s="243"/>
      <c r="J125" s="262"/>
      <c r="K125" s="88"/>
      <c r="L125" s="143">
        <f t="shared" si="18"/>
        <v>0</v>
      </c>
      <c r="N125" s="81"/>
      <c r="R125" s="79" t="str">
        <f t="shared" si="19"/>
        <v>NOT</v>
      </c>
      <c r="S125" s="79" t="str">
        <f t="shared" si="20"/>
        <v>NOT</v>
      </c>
      <c r="T125" s="79" t="str">
        <f t="shared" si="21"/>
        <v>NOT</v>
      </c>
      <c r="V125" s="79" t="str">
        <f t="shared" si="22"/>
        <v/>
      </c>
    </row>
    <row r="126" spans="1:22" x14ac:dyDescent="0.2">
      <c r="B126" s="259"/>
      <c r="C126" s="88"/>
      <c r="D126" s="260"/>
      <c r="E126" s="243"/>
      <c r="F126" s="261"/>
      <c r="G126" s="243"/>
      <c r="H126" s="262"/>
      <c r="I126" s="243"/>
      <c r="J126" s="262"/>
      <c r="K126" s="88"/>
      <c r="L126" s="143">
        <f t="shared" si="18"/>
        <v>0</v>
      </c>
      <c r="N126" s="81"/>
      <c r="R126" s="79" t="str">
        <f t="shared" si="19"/>
        <v>NOT</v>
      </c>
      <c r="S126" s="79" t="str">
        <f t="shared" si="20"/>
        <v>NOT</v>
      </c>
      <c r="T126" s="79" t="str">
        <f t="shared" si="21"/>
        <v>NOT</v>
      </c>
      <c r="V126" s="79" t="str">
        <f t="shared" si="22"/>
        <v/>
      </c>
    </row>
    <row r="127" spans="1:22" x14ac:dyDescent="0.2">
      <c r="B127" s="259"/>
      <c r="C127" s="88"/>
      <c r="D127" s="260"/>
      <c r="E127" s="243"/>
      <c r="F127" s="261"/>
      <c r="G127" s="243"/>
      <c r="H127" s="262"/>
      <c r="I127" s="243"/>
      <c r="J127" s="262"/>
      <c r="K127" s="88"/>
      <c r="L127" s="143">
        <f t="shared" si="18"/>
        <v>0</v>
      </c>
      <c r="N127" s="81"/>
      <c r="R127" s="79" t="str">
        <f t="shared" si="19"/>
        <v>NOT</v>
      </c>
      <c r="S127" s="79" t="str">
        <f t="shared" si="20"/>
        <v>NOT</v>
      </c>
      <c r="T127" s="79" t="str">
        <f t="shared" si="21"/>
        <v>NOT</v>
      </c>
      <c r="V127" s="79" t="str">
        <f t="shared" si="22"/>
        <v/>
      </c>
    </row>
    <row r="128" spans="1:22" x14ac:dyDescent="0.2">
      <c r="B128" s="259"/>
      <c r="C128" s="88"/>
      <c r="D128" s="260"/>
      <c r="E128" s="243"/>
      <c r="F128" s="261"/>
      <c r="G128" s="243"/>
      <c r="H128" s="262"/>
      <c r="I128" s="243"/>
      <c r="J128" s="262"/>
      <c r="K128" s="88"/>
      <c r="L128" s="143">
        <f t="shared" si="18"/>
        <v>0</v>
      </c>
      <c r="N128" s="81"/>
      <c r="R128" s="79" t="str">
        <f t="shared" si="19"/>
        <v>NOT</v>
      </c>
      <c r="S128" s="79" t="str">
        <f t="shared" si="20"/>
        <v>NOT</v>
      </c>
      <c r="T128" s="79" t="str">
        <f t="shared" si="21"/>
        <v>NOT</v>
      </c>
      <c r="V128" s="79" t="str">
        <f t="shared" si="22"/>
        <v/>
      </c>
    </row>
    <row r="129" spans="1:22" s="76" customFormat="1" ht="12.75" customHeight="1" x14ac:dyDescent="0.2">
      <c r="A129" s="87"/>
      <c r="B129" s="88"/>
      <c r="C129" s="88"/>
      <c r="D129" s="70"/>
      <c r="E129" s="70"/>
      <c r="F129" s="70"/>
      <c r="G129" s="70"/>
      <c r="H129" s="70"/>
      <c r="I129" s="70"/>
      <c r="J129" s="70"/>
      <c r="K129" s="88"/>
      <c r="L129" s="70"/>
      <c r="M129" s="70"/>
      <c r="N129" s="70"/>
      <c r="O129" s="89"/>
      <c r="V129" s="79"/>
    </row>
    <row r="130" spans="1:22" ht="28.5" customHeight="1" x14ac:dyDescent="0.2">
      <c r="A130" s="276"/>
      <c r="B130" s="278" t="s">
        <v>295</v>
      </c>
      <c r="C130" s="277"/>
      <c r="D130" s="747" t="s">
        <v>166</v>
      </c>
      <c r="E130" s="748"/>
      <c r="F130" s="748"/>
      <c r="G130" s="748"/>
      <c r="H130" s="748"/>
      <c r="I130" s="279"/>
      <c r="J130" s="280" t="s">
        <v>18</v>
      </c>
      <c r="K130" s="88"/>
      <c r="L130" s="156">
        <f>SUM(L137:L146)</f>
        <v>0</v>
      </c>
      <c r="M130" s="246"/>
      <c r="N130" s="147">
        <f>IF(L130=0,0%,L130/L$8)</f>
        <v>0</v>
      </c>
      <c r="O130" s="495">
        <f>IF(LEN(R130)&gt;3,1,0)</f>
        <v>0</v>
      </c>
      <c r="R130" s="79" t="str">
        <f>IF(AND(R136="NOT",S136="NOT",T136="NOT"),"NOT",D130)</f>
        <v>NOT</v>
      </c>
    </row>
    <row r="131" spans="1:22" s="76" customFormat="1" ht="3" customHeight="1" x14ac:dyDescent="0.2">
      <c r="A131" s="87"/>
      <c r="B131" s="88"/>
      <c r="C131" s="88"/>
      <c r="D131" s="70"/>
      <c r="E131" s="70"/>
      <c r="F131" s="70"/>
      <c r="G131" s="70"/>
      <c r="H131" s="70"/>
      <c r="I131" s="70"/>
      <c r="J131" s="70"/>
      <c r="K131" s="88"/>
      <c r="L131" s="70"/>
      <c r="M131" s="70"/>
      <c r="N131" s="70"/>
      <c r="O131" s="89"/>
      <c r="V131" s="79"/>
    </row>
    <row r="132" spans="1:22" ht="27.75" customHeight="1" x14ac:dyDescent="0.2">
      <c r="B132" s="742" t="s">
        <v>198</v>
      </c>
      <c r="C132" s="743"/>
      <c r="D132" s="743"/>
      <c r="E132" s="743"/>
      <c r="F132" s="743"/>
      <c r="H132" s="81"/>
      <c r="J132" s="81"/>
      <c r="K132" s="88"/>
      <c r="L132" s="81"/>
      <c r="N132" s="227"/>
      <c r="R132" s="79" t="str">
        <f>IF(AND(($L130&gt;0),ISBLANK(B134)),B132,"NOT")</f>
        <v>NOT</v>
      </c>
    </row>
    <row r="133" spans="1:22" ht="3" customHeight="1" x14ac:dyDescent="0.2">
      <c r="B133" s="104"/>
      <c r="C133" s="88"/>
      <c r="D133" s="81"/>
      <c r="F133" s="81"/>
      <c r="H133" s="81"/>
      <c r="J133" s="81"/>
      <c r="K133" s="88"/>
      <c r="L133" s="81"/>
      <c r="N133" s="227"/>
    </row>
    <row r="134" spans="1:22" ht="81" customHeight="1" x14ac:dyDescent="0.2">
      <c r="B134" s="744"/>
      <c r="C134" s="745"/>
      <c r="D134" s="745"/>
      <c r="E134" s="745"/>
      <c r="F134" s="745"/>
      <c r="G134" s="745"/>
      <c r="H134" s="745"/>
      <c r="I134" s="745"/>
      <c r="J134" s="745"/>
      <c r="K134" s="745"/>
      <c r="L134" s="746"/>
      <c r="M134" s="70" t="s">
        <v>19</v>
      </c>
      <c r="N134" s="227"/>
    </row>
    <row r="135" spans="1:22" ht="3.75" customHeight="1" x14ac:dyDescent="0.2">
      <c r="B135" s="104"/>
      <c r="C135" s="88"/>
      <c r="D135" s="81"/>
      <c r="F135" s="81"/>
      <c r="H135" s="81"/>
      <c r="J135" s="81"/>
      <c r="K135" s="88"/>
      <c r="L135" s="81"/>
      <c r="N135" s="227"/>
    </row>
    <row r="136" spans="1:22" ht="38.25" x14ac:dyDescent="0.2">
      <c r="B136" s="244" t="s">
        <v>199</v>
      </c>
      <c r="C136" s="88"/>
      <c r="D136" s="244" t="s">
        <v>580</v>
      </c>
      <c r="F136" s="244" t="s">
        <v>205</v>
      </c>
      <c r="H136" s="244" t="s">
        <v>16</v>
      </c>
      <c r="J136" s="244" t="s">
        <v>15</v>
      </c>
      <c r="K136" s="245"/>
      <c r="L136" s="103" t="s">
        <v>141</v>
      </c>
      <c r="N136" s="81"/>
      <c r="R136" s="255" t="str">
        <f>IF(AND(R137="NOT",R138="NOT",R139="NOT",R140="NOT",R141="NOT",R142="NOT",R143="NOT",R144="NOT",R145="NOT",R146="NOT",R132="NOT"),"NOT",D130)</f>
        <v>NOT</v>
      </c>
      <c r="S136" s="255" t="str">
        <f>IF(AND(S137="NOT",S138="NOT",S139="NOT",S140="NOT",S141="NOT",S142="NOT",S143="NOT",S144="NOT",S145="NOT",S146="NOT",R132="NOT"),"NOT",D130)</f>
        <v>NOT</v>
      </c>
      <c r="T136" s="255" t="str">
        <f>IF(AND(T137="NOT",T138="NOT",T139="NOT",T140="NOT",T141="NOT",T142="NOT",T143="NOT",T144="NOT",T145="NOT",T146="NOT",R132="NOT"),"NOT",D130)</f>
        <v>NOT</v>
      </c>
    </row>
    <row r="137" spans="1:22" x14ac:dyDescent="0.2">
      <c r="B137" s="259"/>
      <c r="C137" s="88"/>
      <c r="D137" s="260"/>
      <c r="E137" s="243"/>
      <c r="F137" s="261"/>
      <c r="G137" s="243"/>
      <c r="H137" s="262"/>
      <c r="I137" s="243"/>
      <c r="J137" s="262"/>
      <c r="K137" s="88"/>
      <c r="L137" s="143">
        <f t="shared" ref="L137:L146" si="23">TRUNC(H137*J137,2)</f>
        <v>0</v>
      </c>
      <c r="N137" s="81"/>
      <c r="R137" s="79" t="str">
        <f t="shared" ref="R137:R146" si="24">IF(AND(($L137&gt;0),ISBLANK(B137)),B137,"NOT")</f>
        <v>NOT</v>
      </c>
      <c r="S137" s="79" t="str">
        <f t="shared" ref="S137:S146" si="25">IF(AND(($L137&gt;0),ISBLANK(D137)),D137,"NOT")</f>
        <v>NOT</v>
      </c>
      <c r="T137" s="79" t="str">
        <f t="shared" ref="T137:T146" si="26">IF(AND(($L137&gt;0),ISBLANK(F137)),F137,"NOT")</f>
        <v>NOT</v>
      </c>
      <c r="V137" s="79" t="str">
        <f t="shared" ref="V137:V160" si="27">LEFT(D137,3)</f>
        <v/>
      </c>
    </row>
    <row r="138" spans="1:22" x14ac:dyDescent="0.2">
      <c r="B138" s="259"/>
      <c r="C138" s="88"/>
      <c r="D138" s="260"/>
      <c r="E138" s="243"/>
      <c r="F138" s="261"/>
      <c r="G138" s="243"/>
      <c r="H138" s="262"/>
      <c r="I138" s="243"/>
      <c r="J138" s="262"/>
      <c r="K138" s="88"/>
      <c r="L138" s="143">
        <f t="shared" si="23"/>
        <v>0</v>
      </c>
      <c r="N138" s="81"/>
      <c r="R138" s="79" t="str">
        <f t="shared" si="24"/>
        <v>NOT</v>
      </c>
      <c r="S138" s="79" t="str">
        <f t="shared" si="25"/>
        <v>NOT</v>
      </c>
      <c r="T138" s="79" t="str">
        <f t="shared" si="26"/>
        <v>NOT</v>
      </c>
      <c r="V138" s="79" t="str">
        <f t="shared" si="27"/>
        <v/>
      </c>
    </row>
    <row r="139" spans="1:22" x14ac:dyDescent="0.2">
      <c r="B139" s="259"/>
      <c r="C139" s="88"/>
      <c r="D139" s="260"/>
      <c r="E139" s="243"/>
      <c r="F139" s="261"/>
      <c r="G139" s="243"/>
      <c r="H139" s="262"/>
      <c r="I139" s="243"/>
      <c r="J139" s="262"/>
      <c r="K139" s="88"/>
      <c r="L139" s="143">
        <f t="shared" si="23"/>
        <v>0</v>
      </c>
      <c r="N139" s="81"/>
      <c r="R139" s="79" t="str">
        <f t="shared" si="24"/>
        <v>NOT</v>
      </c>
      <c r="S139" s="79" t="str">
        <f t="shared" si="25"/>
        <v>NOT</v>
      </c>
      <c r="T139" s="79" t="str">
        <f t="shared" si="26"/>
        <v>NOT</v>
      </c>
      <c r="V139" s="79" t="str">
        <f t="shared" si="27"/>
        <v/>
      </c>
    </row>
    <row r="140" spans="1:22" x14ac:dyDescent="0.2">
      <c r="B140" s="259"/>
      <c r="C140" s="88"/>
      <c r="D140" s="260"/>
      <c r="E140" s="243"/>
      <c r="F140" s="261"/>
      <c r="G140" s="243"/>
      <c r="H140" s="262"/>
      <c r="I140" s="243"/>
      <c r="J140" s="262"/>
      <c r="K140" s="88"/>
      <c r="L140" s="143">
        <f t="shared" si="23"/>
        <v>0</v>
      </c>
      <c r="N140" s="81"/>
      <c r="R140" s="79" t="str">
        <f t="shared" si="24"/>
        <v>NOT</v>
      </c>
      <c r="S140" s="79" t="str">
        <f t="shared" si="25"/>
        <v>NOT</v>
      </c>
      <c r="T140" s="79" t="str">
        <f t="shared" si="26"/>
        <v>NOT</v>
      </c>
      <c r="V140" s="79" t="str">
        <f t="shared" si="27"/>
        <v/>
      </c>
    </row>
    <row r="141" spans="1:22" x14ac:dyDescent="0.2">
      <c r="B141" s="259"/>
      <c r="C141" s="88"/>
      <c r="D141" s="260"/>
      <c r="E141" s="243"/>
      <c r="F141" s="261"/>
      <c r="G141" s="243"/>
      <c r="H141" s="262"/>
      <c r="I141" s="243"/>
      <c r="J141" s="262"/>
      <c r="K141" s="88"/>
      <c r="L141" s="143">
        <f t="shared" si="23"/>
        <v>0</v>
      </c>
      <c r="N141" s="81"/>
      <c r="R141" s="79" t="str">
        <f t="shared" si="24"/>
        <v>NOT</v>
      </c>
      <c r="S141" s="79" t="str">
        <f t="shared" si="25"/>
        <v>NOT</v>
      </c>
      <c r="T141" s="79" t="str">
        <f t="shared" si="26"/>
        <v>NOT</v>
      </c>
      <c r="V141" s="79" t="str">
        <f t="shared" si="27"/>
        <v/>
      </c>
    </row>
    <row r="142" spans="1:22" x14ac:dyDescent="0.2">
      <c r="B142" s="259"/>
      <c r="C142" s="88"/>
      <c r="D142" s="260"/>
      <c r="E142" s="243"/>
      <c r="F142" s="261"/>
      <c r="G142" s="243"/>
      <c r="H142" s="262"/>
      <c r="I142" s="243"/>
      <c r="J142" s="262"/>
      <c r="K142" s="88"/>
      <c r="L142" s="143">
        <f t="shared" si="23"/>
        <v>0</v>
      </c>
      <c r="N142" s="81"/>
      <c r="R142" s="79" t="str">
        <f t="shared" si="24"/>
        <v>NOT</v>
      </c>
      <c r="S142" s="79" t="str">
        <f t="shared" si="25"/>
        <v>NOT</v>
      </c>
      <c r="T142" s="79" t="str">
        <f t="shared" si="26"/>
        <v>NOT</v>
      </c>
      <c r="V142" s="79" t="str">
        <f t="shared" si="27"/>
        <v/>
      </c>
    </row>
    <row r="143" spans="1:22" x14ac:dyDescent="0.2">
      <c r="B143" s="259"/>
      <c r="C143" s="88"/>
      <c r="D143" s="260"/>
      <c r="E143" s="243"/>
      <c r="F143" s="261"/>
      <c r="G143" s="243"/>
      <c r="H143" s="262"/>
      <c r="I143" s="243"/>
      <c r="J143" s="262"/>
      <c r="K143" s="88"/>
      <c r="L143" s="143">
        <f t="shared" si="23"/>
        <v>0</v>
      </c>
      <c r="N143" s="81"/>
      <c r="R143" s="79" t="str">
        <f t="shared" si="24"/>
        <v>NOT</v>
      </c>
      <c r="S143" s="79" t="str">
        <f t="shared" si="25"/>
        <v>NOT</v>
      </c>
      <c r="T143" s="79" t="str">
        <f t="shared" si="26"/>
        <v>NOT</v>
      </c>
      <c r="V143" s="79" t="str">
        <f t="shared" si="27"/>
        <v/>
      </c>
    </row>
    <row r="144" spans="1:22" x14ac:dyDescent="0.2">
      <c r="B144" s="259"/>
      <c r="C144" s="88"/>
      <c r="D144" s="260"/>
      <c r="E144" s="243"/>
      <c r="F144" s="261"/>
      <c r="G144" s="243"/>
      <c r="H144" s="262"/>
      <c r="I144" s="243"/>
      <c r="J144" s="262"/>
      <c r="K144" s="88"/>
      <c r="L144" s="143">
        <f t="shared" si="23"/>
        <v>0</v>
      </c>
      <c r="N144" s="81"/>
      <c r="R144" s="79" t="str">
        <f t="shared" si="24"/>
        <v>NOT</v>
      </c>
      <c r="S144" s="79" t="str">
        <f t="shared" si="25"/>
        <v>NOT</v>
      </c>
      <c r="T144" s="79" t="str">
        <f t="shared" si="26"/>
        <v>NOT</v>
      </c>
      <c r="V144" s="79" t="str">
        <f t="shared" si="27"/>
        <v/>
      </c>
    </row>
    <row r="145" spans="1:22" x14ac:dyDescent="0.2">
      <c r="B145" s="259"/>
      <c r="C145" s="88"/>
      <c r="D145" s="260"/>
      <c r="E145" s="243"/>
      <c r="F145" s="261"/>
      <c r="G145" s="243"/>
      <c r="H145" s="262"/>
      <c r="I145" s="243"/>
      <c r="J145" s="262"/>
      <c r="K145" s="88"/>
      <c r="L145" s="143">
        <f t="shared" si="23"/>
        <v>0</v>
      </c>
      <c r="N145" s="81"/>
      <c r="R145" s="79" t="str">
        <f t="shared" si="24"/>
        <v>NOT</v>
      </c>
      <c r="S145" s="79" t="str">
        <f t="shared" si="25"/>
        <v>NOT</v>
      </c>
      <c r="T145" s="79" t="str">
        <f t="shared" si="26"/>
        <v>NOT</v>
      </c>
      <c r="V145" s="79" t="str">
        <f t="shared" si="27"/>
        <v/>
      </c>
    </row>
    <row r="146" spans="1:22" x14ac:dyDescent="0.2">
      <c r="B146" s="259"/>
      <c r="C146" s="88"/>
      <c r="D146" s="260"/>
      <c r="E146" s="243"/>
      <c r="F146" s="261"/>
      <c r="G146" s="243"/>
      <c r="H146" s="262"/>
      <c r="I146" s="243"/>
      <c r="J146" s="262"/>
      <c r="K146" s="88"/>
      <c r="L146" s="143">
        <f t="shared" si="23"/>
        <v>0</v>
      </c>
      <c r="N146" s="81"/>
      <c r="R146" s="79" t="str">
        <f t="shared" si="24"/>
        <v>NOT</v>
      </c>
      <c r="S146" s="79" t="str">
        <f t="shared" si="25"/>
        <v>NOT</v>
      </c>
      <c r="T146" s="79" t="str">
        <f t="shared" si="26"/>
        <v>NOT</v>
      </c>
      <c r="V146" s="79" t="str">
        <f t="shared" si="27"/>
        <v/>
      </c>
    </row>
    <row r="147" spans="1:22" s="76" customFormat="1" x14ac:dyDescent="0.2">
      <c r="A147" s="87"/>
      <c r="B147" s="88"/>
      <c r="C147" s="88"/>
      <c r="D147" s="70"/>
      <c r="E147" s="70"/>
      <c r="F147" s="70"/>
      <c r="G147" s="70"/>
      <c r="H147" s="70"/>
      <c r="I147" s="70"/>
      <c r="J147" s="70"/>
      <c r="K147" s="88"/>
      <c r="L147" s="70"/>
      <c r="M147" s="70"/>
      <c r="N147" s="70"/>
      <c r="O147" s="89"/>
      <c r="V147" s="79"/>
    </row>
    <row r="148" spans="1:22" ht="28.5" customHeight="1" x14ac:dyDescent="0.2">
      <c r="A148" s="276"/>
      <c r="B148" s="278" t="s">
        <v>293</v>
      </c>
      <c r="C148" s="277"/>
      <c r="D148" s="747" t="s">
        <v>166</v>
      </c>
      <c r="E148" s="748"/>
      <c r="F148" s="748"/>
      <c r="G148" s="748"/>
      <c r="H148" s="748"/>
      <c r="I148" s="279"/>
      <c r="J148" s="280" t="s">
        <v>18</v>
      </c>
      <c r="K148" s="88"/>
      <c r="L148" s="156">
        <f>SUM(L155:L160)</f>
        <v>0</v>
      </c>
      <c r="M148" s="246"/>
      <c r="N148" s="147">
        <f>IF(L148=0,0%,L148/L$8)</f>
        <v>0</v>
      </c>
      <c r="O148" s="495">
        <f>IF(LEN(R148)&gt;3,1,0)</f>
        <v>0</v>
      </c>
      <c r="R148" s="79" t="str">
        <f>IF(AND(R154="NOT",S154="NOT",T154="NOT"),"NOT",D148)</f>
        <v>NOT</v>
      </c>
    </row>
    <row r="149" spans="1:22" s="76" customFormat="1" ht="3" customHeight="1" x14ac:dyDescent="0.2">
      <c r="A149" s="87"/>
      <c r="B149" s="788"/>
      <c r="C149" s="789"/>
      <c r="D149" s="789"/>
      <c r="E149" s="789"/>
      <c r="F149" s="789"/>
      <c r="G149" s="789"/>
      <c r="H149" s="789"/>
      <c r="I149" s="789"/>
      <c r="J149" s="789"/>
      <c r="K149" s="789"/>
      <c r="L149" s="789"/>
      <c r="M149" s="70"/>
      <c r="N149" s="70"/>
      <c r="O149" s="353"/>
      <c r="P149" s="270"/>
      <c r="Q149" s="231" t="str">
        <f>IF(N148&gt;O149,B149,"")</f>
        <v/>
      </c>
      <c r="V149" s="79"/>
    </row>
    <row r="150" spans="1:22" x14ac:dyDescent="0.2">
      <c r="B150" s="742" t="s">
        <v>197</v>
      </c>
      <c r="C150" s="743"/>
      <c r="D150" s="743"/>
      <c r="E150" s="743"/>
      <c r="F150" s="743"/>
      <c r="H150" s="81"/>
      <c r="J150" s="81"/>
      <c r="K150" s="88"/>
      <c r="L150" s="81"/>
      <c r="N150" s="227"/>
      <c r="R150" s="79" t="str">
        <f>IF(AND(($L148&gt;0),ISBLANK(B152)),B150,"NOT")</f>
        <v>NOT</v>
      </c>
    </row>
    <row r="151" spans="1:22" ht="3" customHeight="1" x14ac:dyDescent="0.2">
      <c r="B151" s="104"/>
      <c r="C151" s="88"/>
      <c r="D151" s="81"/>
      <c r="F151" s="81"/>
      <c r="H151" s="81"/>
      <c r="J151" s="81"/>
      <c r="K151" s="88"/>
      <c r="L151" s="81"/>
      <c r="N151" s="227"/>
    </row>
    <row r="152" spans="1:22" ht="60" customHeight="1" x14ac:dyDescent="0.2">
      <c r="B152" s="744"/>
      <c r="C152" s="745"/>
      <c r="D152" s="745"/>
      <c r="E152" s="745"/>
      <c r="F152" s="745"/>
      <c r="G152" s="745"/>
      <c r="H152" s="745"/>
      <c r="I152" s="745"/>
      <c r="J152" s="745"/>
      <c r="K152" s="745"/>
      <c r="L152" s="746"/>
      <c r="M152" s="70" t="s">
        <v>19</v>
      </c>
      <c r="N152" s="227"/>
    </row>
    <row r="153" spans="1:22" ht="3.75" customHeight="1" x14ac:dyDescent="0.2">
      <c r="B153" s="104"/>
      <c r="C153" s="88"/>
      <c r="D153" s="81"/>
      <c r="F153" s="81"/>
      <c r="H153" s="81"/>
      <c r="J153" s="81"/>
      <c r="K153" s="88"/>
      <c r="L153" s="81"/>
      <c r="N153" s="227"/>
    </row>
    <row r="154" spans="1:22" ht="25.5" x14ac:dyDescent="0.2">
      <c r="B154" s="244" t="s">
        <v>202</v>
      </c>
      <c r="C154" s="88"/>
      <c r="D154" s="244" t="s">
        <v>580</v>
      </c>
      <c r="F154" s="244" t="s">
        <v>205</v>
      </c>
      <c r="H154" s="244" t="s">
        <v>16</v>
      </c>
      <c r="J154" s="244" t="s">
        <v>15</v>
      </c>
      <c r="K154" s="245"/>
      <c r="L154" s="103" t="s">
        <v>141</v>
      </c>
      <c r="N154" s="81"/>
      <c r="R154" s="255" t="str">
        <f>IF(AND(R155="NOT",R156="NOT",R157="NOT",R158="NOT",R159="NOT",R160="NOT",R150="NOT"),"NOT",D148)</f>
        <v>NOT</v>
      </c>
      <c r="S154" s="255" t="str">
        <f>IF(AND(S155="NOT",S156="NOT",S157="NOT",S158="NOT",S159="NOT",S160="NOT",R150="NOT"),"NOT",D148)</f>
        <v>NOT</v>
      </c>
      <c r="T154" s="255" t="str">
        <f>IF(AND(T155="NOT",T156="NOT",T157="NOT",T158="NOT",T159="NOT",T160="NOT",R150="NOT"),"NOT",D148)</f>
        <v>NOT</v>
      </c>
    </row>
    <row r="155" spans="1:22" x14ac:dyDescent="0.2">
      <c r="B155" s="259"/>
      <c r="C155" s="88"/>
      <c r="D155" s="260"/>
      <c r="E155" s="243"/>
      <c r="F155" s="261"/>
      <c r="G155" s="243"/>
      <c r="H155" s="262"/>
      <c r="I155" s="243"/>
      <c r="J155" s="262"/>
      <c r="K155" s="88"/>
      <c r="L155" s="143">
        <f t="shared" ref="L155:L160" si="28">TRUNC(H155*J155,2)</f>
        <v>0</v>
      </c>
      <c r="N155" s="81"/>
      <c r="R155" s="79" t="str">
        <f t="shared" ref="R155:R160" si="29">IF(AND(($L155&gt;0),ISBLANK(B155)),B155,"NOT")</f>
        <v>NOT</v>
      </c>
      <c r="S155" s="79" t="str">
        <f t="shared" ref="S155:S160" si="30">IF(AND(($L155&gt;0),ISBLANK(D155)),D155,"NOT")</f>
        <v>NOT</v>
      </c>
      <c r="T155" s="79" t="str">
        <f t="shared" ref="T155:T160" si="31">IF(AND(($L155&gt;0),ISBLANK(F155)),F155,"NOT")</f>
        <v>NOT</v>
      </c>
      <c r="V155" s="79" t="str">
        <f t="shared" si="27"/>
        <v/>
      </c>
    </row>
    <row r="156" spans="1:22" x14ac:dyDescent="0.2">
      <c r="B156" s="259"/>
      <c r="C156" s="88"/>
      <c r="D156" s="260"/>
      <c r="E156" s="243"/>
      <c r="F156" s="261"/>
      <c r="G156" s="243"/>
      <c r="H156" s="262"/>
      <c r="I156" s="243"/>
      <c r="J156" s="262"/>
      <c r="K156" s="88"/>
      <c r="L156" s="143">
        <f t="shared" si="28"/>
        <v>0</v>
      </c>
      <c r="N156" s="81"/>
      <c r="R156" s="79" t="str">
        <f t="shared" si="29"/>
        <v>NOT</v>
      </c>
      <c r="S156" s="79" t="str">
        <f t="shared" si="30"/>
        <v>NOT</v>
      </c>
      <c r="T156" s="79" t="str">
        <f t="shared" si="31"/>
        <v>NOT</v>
      </c>
      <c r="V156" s="79" t="str">
        <f t="shared" si="27"/>
        <v/>
      </c>
    </row>
    <row r="157" spans="1:22" x14ac:dyDescent="0.2">
      <c r="B157" s="259"/>
      <c r="C157" s="88"/>
      <c r="D157" s="260"/>
      <c r="E157" s="243"/>
      <c r="F157" s="261"/>
      <c r="G157" s="243"/>
      <c r="H157" s="262"/>
      <c r="I157" s="243"/>
      <c r="J157" s="262"/>
      <c r="K157" s="88"/>
      <c r="L157" s="143">
        <f t="shared" si="28"/>
        <v>0</v>
      </c>
      <c r="N157" s="81"/>
      <c r="R157" s="79" t="str">
        <f t="shared" si="29"/>
        <v>NOT</v>
      </c>
      <c r="S157" s="79" t="str">
        <f t="shared" si="30"/>
        <v>NOT</v>
      </c>
      <c r="T157" s="79" t="str">
        <f t="shared" si="31"/>
        <v>NOT</v>
      </c>
      <c r="V157" s="79" t="str">
        <f t="shared" si="27"/>
        <v/>
      </c>
    </row>
    <row r="158" spans="1:22" x14ac:dyDescent="0.2">
      <c r="B158" s="259"/>
      <c r="C158" s="88"/>
      <c r="D158" s="260"/>
      <c r="E158" s="243"/>
      <c r="F158" s="261"/>
      <c r="G158" s="243"/>
      <c r="H158" s="262"/>
      <c r="I158" s="243"/>
      <c r="J158" s="262"/>
      <c r="K158" s="88"/>
      <c r="L158" s="143">
        <f t="shared" si="28"/>
        <v>0</v>
      </c>
      <c r="N158" s="81"/>
      <c r="R158" s="79" t="str">
        <f t="shared" si="29"/>
        <v>NOT</v>
      </c>
      <c r="S158" s="79" t="str">
        <f t="shared" si="30"/>
        <v>NOT</v>
      </c>
      <c r="T158" s="79" t="str">
        <f t="shared" si="31"/>
        <v>NOT</v>
      </c>
      <c r="V158" s="79" t="str">
        <f t="shared" si="27"/>
        <v/>
      </c>
    </row>
    <row r="159" spans="1:22" x14ac:dyDescent="0.2">
      <c r="B159" s="259"/>
      <c r="C159" s="88"/>
      <c r="D159" s="260"/>
      <c r="E159" s="243"/>
      <c r="F159" s="261"/>
      <c r="G159" s="243"/>
      <c r="H159" s="262"/>
      <c r="I159" s="243"/>
      <c r="J159" s="262"/>
      <c r="K159" s="88"/>
      <c r="L159" s="143">
        <f t="shared" si="28"/>
        <v>0</v>
      </c>
      <c r="N159" s="81"/>
      <c r="R159" s="79" t="str">
        <f t="shared" si="29"/>
        <v>NOT</v>
      </c>
      <c r="S159" s="79" t="str">
        <f t="shared" si="30"/>
        <v>NOT</v>
      </c>
      <c r="T159" s="79" t="str">
        <f t="shared" si="31"/>
        <v>NOT</v>
      </c>
      <c r="V159" s="79" t="str">
        <f t="shared" si="27"/>
        <v/>
      </c>
    </row>
    <row r="160" spans="1:22" x14ac:dyDescent="0.2">
      <c r="B160" s="259"/>
      <c r="C160" s="88"/>
      <c r="D160" s="260"/>
      <c r="E160" s="243"/>
      <c r="F160" s="261"/>
      <c r="G160" s="243"/>
      <c r="H160" s="262"/>
      <c r="I160" s="243"/>
      <c r="J160" s="262"/>
      <c r="K160" s="88"/>
      <c r="L160" s="143">
        <f t="shared" si="28"/>
        <v>0</v>
      </c>
      <c r="N160" s="81"/>
      <c r="R160" s="79" t="str">
        <f t="shared" si="29"/>
        <v>NOT</v>
      </c>
      <c r="S160" s="79" t="str">
        <f t="shared" si="30"/>
        <v>NOT</v>
      </c>
      <c r="T160" s="79" t="str">
        <f t="shared" si="31"/>
        <v>NOT</v>
      </c>
      <c r="V160" s="79" t="str">
        <f t="shared" si="27"/>
        <v/>
      </c>
    </row>
    <row r="161" spans="1:22" s="76" customFormat="1" ht="12.75" customHeight="1" x14ac:dyDescent="0.2">
      <c r="A161" s="87"/>
      <c r="B161" s="88"/>
      <c r="C161" s="88"/>
      <c r="D161" s="70"/>
      <c r="E161" s="70"/>
      <c r="F161" s="70"/>
      <c r="G161" s="70"/>
      <c r="H161" s="70"/>
      <c r="I161" s="70"/>
      <c r="J161" s="70"/>
      <c r="K161" s="88"/>
      <c r="L161" s="70"/>
      <c r="M161" s="70"/>
      <c r="N161" s="70"/>
      <c r="O161" s="89"/>
      <c r="V161" s="79"/>
    </row>
    <row r="162" spans="1:22" ht="28.5" customHeight="1" x14ac:dyDescent="0.2">
      <c r="A162" s="276"/>
      <c r="B162" s="278" t="s">
        <v>294</v>
      </c>
      <c r="C162" s="277"/>
      <c r="D162" s="747" t="s">
        <v>166</v>
      </c>
      <c r="E162" s="748"/>
      <c r="F162" s="748"/>
      <c r="G162" s="748"/>
      <c r="H162" s="748"/>
      <c r="I162" s="279"/>
      <c r="J162" s="280" t="s">
        <v>18</v>
      </c>
      <c r="K162" s="88"/>
      <c r="L162" s="156">
        <f>SUM(L169:L172)</f>
        <v>0</v>
      </c>
      <c r="M162" s="246"/>
      <c r="N162" s="147">
        <f>IF(L162=0,0%,L162/L$8)</f>
        <v>0</v>
      </c>
      <c r="O162" s="495">
        <f>IF(LEN(R162)&gt;3,1,0)</f>
        <v>0</v>
      </c>
      <c r="R162" s="79" t="str">
        <f>IF(AND(R168="NOT",S168="NOT",T168="NOT"),"NOT",D162)</f>
        <v>NOT</v>
      </c>
    </row>
    <row r="163" spans="1:22" s="76" customFormat="1" ht="3" customHeight="1" x14ac:dyDescent="0.2">
      <c r="A163" s="87"/>
      <c r="B163" s="88"/>
      <c r="C163" s="88"/>
      <c r="D163" s="70"/>
      <c r="E163" s="70"/>
      <c r="F163" s="70"/>
      <c r="G163" s="70"/>
      <c r="H163" s="70"/>
      <c r="I163" s="70"/>
      <c r="J163" s="70"/>
      <c r="K163" s="88"/>
      <c r="L163" s="70"/>
      <c r="M163" s="70"/>
      <c r="N163" s="70"/>
      <c r="O163" s="89"/>
      <c r="V163" s="79"/>
    </row>
    <row r="164" spans="1:22" x14ac:dyDescent="0.2">
      <c r="B164" s="742" t="s">
        <v>197</v>
      </c>
      <c r="C164" s="743"/>
      <c r="D164" s="743"/>
      <c r="E164" s="743"/>
      <c r="F164" s="743"/>
      <c r="H164" s="81"/>
      <c r="J164" s="81"/>
      <c r="K164" s="88"/>
      <c r="L164" s="81"/>
      <c r="N164" s="227"/>
      <c r="R164" s="79" t="str">
        <f>IF(AND(($L162&gt;0),ISBLANK(B166)),B164,"NOT")</f>
        <v>NOT</v>
      </c>
    </row>
    <row r="165" spans="1:22" ht="3" customHeight="1" x14ac:dyDescent="0.2">
      <c r="B165" s="104"/>
      <c r="C165" s="88"/>
      <c r="D165" s="81"/>
      <c r="F165" s="81"/>
      <c r="H165" s="81"/>
      <c r="J165" s="81"/>
      <c r="K165" s="88"/>
      <c r="L165" s="81"/>
      <c r="N165" s="227"/>
    </row>
    <row r="166" spans="1:22" ht="50.25" customHeight="1" x14ac:dyDescent="0.2">
      <c r="B166" s="744"/>
      <c r="C166" s="745"/>
      <c r="D166" s="745"/>
      <c r="E166" s="745"/>
      <c r="F166" s="745"/>
      <c r="G166" s="745"/>
      <c r="H166" s="745"/>
      <c r="I166" s="745"/>
      <c r="J166" s="745"/>
      <c r="K166" s="745"/>
      <c r="L166" s="746"/>
      <c r="M166" s="70" t="s">
        <v>19</v>
      </c>
      <c r="N166" s="227"/>
    </row>
    <row r="167" spans="1:22" ht="3.75" customHeight="1" x14ac:dyDescent="0.2">
      <c r="B167" s="104"/>
      <c r="C167" s="88"/>
      <c r="D167" s="81"/>
      <c r="F167" s="81"/>
      <c r="H167" s="81"/>
      <c r="J167" s="81"/>
      <c r="K167" s="88"/>
      <c r="L167" s="81"/>
      <c r="N167" s="227"/>
    </row>
    <row r="168" spans="1:22" ht="12.75" customHeight="1" x14ac:dyDescent="0.2">
      <c r="B168" s="244" t="s">
        <v>17</v>
      </c>
      <c r="C168" s="88"/>
      <c r="D168" s="244" t="s">
        <v>580</v>
      </c>
      <c r="F168" s="244" t="s">
        <v>205</v>
      </c>
      <c r="H168" s="244" t="s">
        <v>16</v>
      </c>
      <c r="J168" s="244" t="s">
        <v>15</v>
      </c>
      <c r="K168" s="245"/>
      <c r="L168" s="103" t="s">
        <v>141</v>
      </c>
      <c r="N168" s="81"/>
      <c r="R168" s="255" t="str">
        <f>IF(AND(R169="NOT",R170="NOT",R171="NOT",R172="NOT",R164="NOT"),"NOT",D162)</f>
        <v>NOT</v>
      </c>
      <c r="S168" s="255" t="str">
        <f>IF(AND(S169="NOT",S170="NOT",S171="NOT",S172="NOT",R164="NOT"),"NOT",D162)</f>
        <v>NOT</v>
      </c>
      <c r="T168" s="255" t="str">
        <f>IF(AND(T169="NOT",T170="NOT",T171="NOT",T172="NOT",R164="NOT"),"NOT",D162)</f>
        <v>NOT</v>
      </c>
    </row>
    <row r="169" spans="1:22" x14ac:dyDescent="0.2">
      <c r="B169" s="259"/>
      <c r="C169" s="88"/>
      <c r="D169" s="260"/>
      <c r="E169" s="243"/>
      <c r="F169" s="261"/>
      <c r="G169" s="243"/>
      <c r="H169" s="262"/>
      <c r="I169" s="243"/>
      <c r="J169" s="262"/>
      <c r="K169" s="88"/>
      <c r="L169" s="143">
        <f>TRUNC(H169*J169,2)</f>
        <v>0</v>
      </c>
      <c r="N169" s="81"/>
      <c r="R169" s="79" t="str">
        <f>IF(AND(($L169&gt;0),ISBLANK(B169)),B169,"NOT")</f>
        <v>NOT</v>
      </c>
      <c r="S169" s="79" t="str">
        <f>IF(AND(($L169&gt;0),ISBLANK(D169)),D169,"NOT")</f>
        <v>NOT</v>
      </c>
      <c r="T169" s="79" t="str">
        <f>IF(AND(($L169&gt;0),ISBLANK(F169)),F169,"NOT")</f>
        <v>NOT</v>
      </c>
      <c r="V169" s="79" t="str">
        <f>LEFT(D169,3)</f>
        <v/>
      </c>
    </row>
    <row r="170" spans="1:22" x14ac:dyDescent="0.2">
      <c r="B170" s="259"/>
      <c r="C170" s="88"/>
      <c r="D170" s="260"/>
      <c r="E170" s="243"/>
      <c r="F170" s="261"/>
      <c r="G170" s="243"/>
      <c r="H170" s="262"/>
      <c r="I170" s="243"/>
      <c r="J170" s="262"/>
      <c r="K170" s="88"/>
      <c r="L170" s="143">
        <f>TRUNC(H170*J170,2)</f>
        <v>0</v>
      </c>
      <c r="N170" s="81"/>
      <c r="R170" s="79" t="str">
        <f>IF(AND(($L170&gt;0),ISBLANK(B170)),B170,"NOT")</f>
        <v>NOT</v>
      </c>
      <c r="S170" s="79" t="str">
        <f>IF(AND(($L170&gt;0),ISBLANK(D170)),D170,"NOT")</f>
        <v>NOT</v>
      </c>
      <c r="T170" s="79" t="str">
        <f>IF(AND(($L170&gt;0),ISBLANK(F170)),F170,"NOT")</f>
        <v>NOT</v>
      </c>
      <c r="V170" s="79" t="str">
        <f>LEFT(D170,3)</f>
        <v/>
      </c>
    </row>
    <row r="171" spans="1:22" x14ac:dyDescent="0.2">
      <c r="B171" s="259"/>
      <c r="C171" s="88"/>
      <c r="D171" s="260"/>
      <c r="E171" s="243"/>
      <c r="F171" s="261"/>
      <c r="G171" s="243"/>
      <c r="H171" s="262"/>
      <c r="I171" s="243"/>
      <c r="J171" s="262"/>
      <c r="K171" s="88"/>
      <c r="L171" s="143">
        <f>TRUNC(H171*J171,2)</f>
        <v>0</v>
      </c>
      <c r="N171" s="81"/>
      <c r="R171" s="79" t="str">
        <f>IF(AND(($L171&gt;0),ISBLANK(B171)),B171,"NOT")</f>
        <v>NOT</v>
      </c>
      <c r="S171" s="79" t="str">
        <f>IF(AND(($L171&gt;0),ISBLANK(D171)),D171,"NOT")</f>
        <v>NOT</v>
      </c>
      <c r="T171" s="79" t="str">
        <f>IF(AND(($L171&gt;0),ISBLANK(F171)),F171,"NOT")</f>
        <v>NOT</v>
      </c>
      <c r="V171" s="79" t="str">
        <f>LEFT(D171,3)</f>
        <v/>
      </c>
    </row>
    <row r="172" spans="1:22" x14ac:dyDescent="0.2">
      <c r="B172" s="259"/>
      <c r="C172" s="88"/>
      <c r="D172" s="260"/>
      <c r="E172" s="243"/>
      <c r="F172" s="261"/>
      <c r="G172" s="243"/>
      <c r="H172" s="262"/>
      <c r="I172" s="243"/>
      <c r="J172" s="262"/>
      <c r="K172" s="88"/>
      <c r="L172" s="143">
        <f>TRUNC(H172*J172,2)</f>
        <v>0</v>
      </c>
      <c r="N172" s="81"/>
      <c r="R172" s="79" t="str">
        <f>IF(AND(($L172&gt;0),ISBLANK(B172)),B172,"NOT")</f>
        <v>NOT</v>
      </c>
      <c r="S172" s="79" t="str">
        <f>IF(AND(($L172&gt;0),ISBLANK(D172)),D172,"NOT")</f>
        <v>NOT</v>
      </c>
      <c r="T172" s="79" t="str">
        <f>IF(AND(($L172&gt;0),ISBLANK(F172)),F172,"NOT")</f>
        <v>NOT</v>
      </c>
      <c r="V172" s="79" t="str">
        <f>LEFT(D172,3)</f>
        <v/>
      </c>
    </row>
    <row r="173" spans="1:22" s="76" customFormat="1" ht="12.75" customHeight="1" x14ac:dyDescent="0.2">
      <c r="A173" s="87"/>
      <c r="B173" s="88"/>
      <c r="C173" s="88"/>
      <c r="D173" s="70"/>
      <c r="E173" s="70"/>
      <c r="F173" s="70"/>
      <c r="G173" s="70"/>
      <c r="H173" s="70"/>
      <c r="I173" s="70"/>
      <c r="J173" s="70"/>
      <c r="K173" s="88"/>
      <c r="L173" s="70"/>
      <c r="M173" s="70"/>
      <c r="N173" s="70"/>
      <c r="O173" s="89"/>
      <c r="V173" s="79"/>
    </row>
    <row r="174" spans="1:22" ht="25.5" x14ac:dyDescent="0.2">
      <c r="A174" s="276"/>
      <c r="B174" s="278" t="s">
        <v>296</v>
      </c>
      <c r="C174" s="277"/>
      <c r="D174" s="747" t="s">
        <v>166</v>
      </c>
      <c r="E174" s="748"/>
      <c r="F174" s="748"/>
      <c r="G174" s="748"/>
      <c r="H174" s="748"/>
      <c r="I174" s="279"/>
      <c r="J174" s="280" t="s">
        <v>18</v>
      </c>
      <c r="K174" s="88"/>
      <c r="L174" s="156">
        <f>SUM(L181:L190)</f>
        <v>0</v>
      </c>
      <c r="M174" s="246"/>
      <c r="N174" s="147">
        <f>IF(L174=0,0%,L174/L$8)</f>
        <v>0</v>
      </c>
      <c r="O174" s="495">
        <f>IF(LEN(R174)&gt;3,1,0)</f>
        <v>0</v>
      </c>
      <c r="R174" s="79" t="str">
        <f>IF(AND(R180="NOT",S180="NOT",T180="NOT"),"NOT",D174)</f>
        <v>NOT</v>
      </c>
    </row>
    <row r="175" spans="1:22" s="76" customFormat="1" ht="3" customHeight="1" x14ac:dyDescent="0.2">
      <c r="A175" s="87"/>
      <c r="B175" s="88"/>
      <c r="C175" s="88"/>
      <c r="D175" s="70"/>
      <c r="E175" s="70"/>
      <c r="F175" s="70"/>
      <c r="G175" s="70"/>
      <c r="H175" s="70"/>
      <c r="I175" s="70"/>
      <c r="J175" s="70"/>
      <c r="K175" s="88"/>
      <c r="L175" s="70"/>
      <c r="M175" s="70"/>
      <c r="N175" s="70"/>
      <c r="O175" s="89"/>
      <c r="V175" s="79"/>
    </row>
    <row r="176" spans="1:22" ht="27.75" customHeight="1" x14ac:dyDescent="0.2">
      <c r="B176" s="749" t="s">
        <v>38</v>
      </c>
      <c r="C176" s="750"/>
      <c r="D176" s="750"/>
      <c r="E176" s="750"/>
      <c r="F176" s="750"/>
      <c r="H176" s="81"/>
      <c r="J176" s="81"/>
      <c r="K176" s="88"/>
      <c r="L176" s="81"/>
      <c r="N176" s="227"/>
      <c r="R176" s="79" t="str">
        <f>IF(AND(($L174&gt;0),ISBLANK(B178)),B176,"NOT")</f>
        <v>NOT</v>
      </c>
    </row>
    <row r="177" spans="1:22" ht="3" customHeight="1" x14ac:dyDescent="0.2">
      <c r="B177" s="104"/>
      <c r="C177" s="88"/>
      <c r="D177" s="81"/>
      <c r="F177" s="81"/>
      <c r="H177" s="81"/>
      <c r="J177" s="81"/>
      <c r="K177" s="88"/>
      <c r="L177" s="81"/>
      <c r="N177" s="227"/>
    </row>
    <row r="178" spans="1:22" ht="81" customHeight="1" x14ac:dyDescent="0.2">
      <c r="B178" s="744"/>
      <c r="C178" s="745"/>
      <c r="D178" s="745"/>
      <c r="E178" s="745"/>
      <c r="F178" s="745"/>
      <c r="G178" s="745"/>
      <c r="H178" s="745"/>
      <c r="I178" s="745"/>
      <c r="J178" s="745"/>
      <c r="K178" s="745"/>
      <c r="L178" s="746"/>
      <c r="M178" s="70" t="s">
        <v>19</v>
      </c>
      <c r="N178" s="227"/>
    </row>
    <row r="179" spans="1:22" ht="3.75" customHeight="1" x14ac:dyDescent="0.2">
      <c r="B179" s="104"/>
      <c r="C179" s="88"/>
      <c r="D179" s="81"/>
      <c r="F179" s="81"/>
      <c r="H179" s="81"/>
      <c r="J179" s="81"/>
      <c r="K179" s="88"/>
      <c r="L179" s="81"/>
      <c r="N179" s="227"/>
    </row>
    <row r="180" spans="1:22" ht="38.25" x14ac:dyDescent="0.2">
      <c r="B180" s="244" t="s">
        <v>23</v>
      </c>
      <c r="C180" s="88"/>
      <c r="D180" s="244" t="s">
        <v>580</v>
      </c>
      <c r="F180" s="244" t="s">
        <v>205</v>
      </c>
      <c r="H180" s="244" t="s">
        <v>16</v>
      </c>
      <c r="J180" s="244" t="s">
        <v>15</v>
      </c>
      <c r="K180" s="245"/>
      <c r="L180" s="103" t="s">
        <v>141</v>
      </c>
      <c r="N180" s="81"/>
      <c r="R180" s="255" t="str">
        <f>IF(AND(R181="NOT",R182="NOT",R183="NOT",R184="NOT",R185="NOT",R186="NOT",R187="NOT",R188="NOT",R189="NOT",R190="NOT",R176="NOT"),"NOT",D174)</f>
        <v>NOT</v>
      </c>
      <c r="S180" s="255" t="str">
        <f>IF(AND(S181="NOT",S182="NOT",S183="NOT",S184="NOT",S185="NOT",S186="NOT",S187="NOT",S188="NOT",S189="NOT",S190="NOT",R176="NOT"),"NOT",D174)</f>
        <v>NOT</v>
      </c>
      <c r="T180" s="255" t="str">
        <f>IF(AND(T181="NOT",T182="NOT",T183="NOT",T184="NOT",T185="NOT",T186="NOT",T187="NOT",T188="NOT",T189="NOT",T190="NOT",R176="NOT"),"NOT",D174)</f>
        <v>NOT</v>
      </c>
    </row>
    <row r="181" spans="1:22" x14ac:dyDescent="0.2">
      <c r="B181" s="259"/>
      <c r="C181" s="88"/>
      <c r="D181" s="260"/>
      <c r="E181" s="243"/>
      <c r="F181" s="261"/>
      <c r="G181" s="243"/>
      <c r="H181" s="262"/>
      <c r="I181" s="243"/>
      <c r="J181" s="262"/>
      <c r="K181" s="88"/>
      <c r="L181" s="143">
        <f t="shared" ref="L181:L190" si="32">TRUNC(H181*J181,2)</f>
        <v>0</v>
      </c>
      <c r="N181" s="81"/>
      <c r="R181" s="79" t="str">
        <f t="shared" ref="R181:R190" si="33">IF(AND(($L181&gt;0),ISBLANK(B181)),B181,"NOT")</f>
        <v>NOT</v>
      </c>
      <c r="S181" s="79" t="str">
        <f t="shared" ref="S181:S190" si="34">IF(AND(($L181&gt;0),ISBLANK(D181)),D181,"NOT")</f>
        <v>NOT</v>
      </c>
      <c r="T181" s="79" t="str">
        <f t="shared" ref="T181:T190" si="35">IF(AND(($L181&gt;0),ISBLANK(F181)),F181,"NOT")</f>
        <v>NOT</v>
      </c>
      <c r="V181" s="79" t="str">
        <f t="shared" ref="V181:V190" si="36">LEFT(D181,3)</f>
        <v/>
      </c>
    </row>
    <row r="182" spans="1:22" x14ac:dyDescent="0.2">
      <c r="B182" s="259"/>
      <c r="C182" s="88"/>
      <c r="D182" s="260"/>
      <c r="E182" s="243"/>
      <c r="F182" s="261"/>
      <c r="G182" s="243"/>
      <c r="H182" s="262"/>
      <c r="I182" s="243"/>
      <c r="J182" s="262"/>
      <c r="K182" s="88"/>
      <c r="L182" s="143">
        <f t="shared" si="32"/>
        <v>0</v>
      </c>
      <c r="N182" s="81"/>
      <c r="R182" s="79" t="str">
        <f t="shared" si="33"/>
        <v>NOT</v>
      </c>
      <c r="S182" s="79" t="str">
        <f t="shared" si="34"/>
        <v>NOT</v>
      </c>
      <c r="T182" s="79" t="str">
        <f t="shared" si="35"/>
        <v>NOT</v>
      </c>
      <c r="V182" s="79" t="str">
        <f t="shared" si="36"/>
        <v/>
      </c>
    </row>
    <row r="183" spans="1:22" x14ac:dyDescent="0.2">
      <c r="B183" s="259"/>
      <c r="C183" s="88"/>
      <c r="D183" s="260"/>
      <c r="E183" s="243"/>
      <c r="F183" s="261"/>
      <c r="G183" s="243"/>
      <c r="H183" s="262"/>
      <c r="I183" s="243"/>
      <c r="J183" s="262"/>
      <c r="K183" s="88"/>
      <c r="L183" s="143">
        <f t="shared" si="32"/>
        <v>0</v>
      </c>
      <c r="N183" s="81"/>
      <c r="R183" s="79" t="str">
        <f t="shared" si="33"/>
        <v>NOT</v>
      </c>
      <c r="S183" s="79" t="str">
        <f t="shared" si="34"/>
        <v>NOT</v>
      </c>
      <c r="T183" s="79" t="str">
        <f t="shared" si="35"/>
        <v>NOT</v>
      </c>
      <c r="V183" s="79" t="str">
        <f t="shared" si="36"/>
        <v/>
      </c>
    </row>
    <row r="184" spans="1:22" x14ac:dyDescent="0.2">
      <c r="B184" s="259"/>
      <c r="C184" s="88"/>
      <c r="D184" s="260"/>
      <c r="E184" s="243"/>
      <c r="F184" s="261"/>
      <c r="G184" s="243"/>
      <c r="H184" s="262"/>
      <c r="I184" s="243"/>
      <c r="J184" s="262"/>
      <c r="K184" s="88"/>
      <c r="L184" s="143">
        <f t="shared" si="32"/>
        <v>0</v>
      </c>
      <c r="N184" s="81"/>
      <c r="R184" s="79" t="str">
        <f t="shared" si="33"/>
        <v>NOT</v>
      </c>
      <c r="S184" s="79" t="str">
        <f t="shared" si="34"/>
        <v>NOT</v>
      </c>
      <c r="T184" s="79" t="str">
        <f t="shared" si="35"/>
        <v>NOT</v>
      </c>
      <c r="V184" s="79" t="str">
        <f t="shared" si="36"/>
        <v/>
      </c>
    </row>
    <row r="185" spans="1:22" x14ac:dyDescent="0.2">
      <c r="B185" s="259"/>
      <c r="C185" s="88"/>
      <c r="D185" s="260"/>
      <c r="E185" s="243"/>
      <c r="F185" s="261"/>
      <c r="G185" s="243"/>
      <c r="H185" s="262"/>
      <c r="I185" s="243"/>
      <c r="J185" s="262"/>
      <c r="K185" s="88"/>
      <c r="L185" s="143">
        <f t="shared" si="32"/>
        <v>0</v>
      </c>
      <c r="N185" s="81"/>
      <c r="R185" s="79" t="str">
        <f t="shared" si="33"/>
        <v>NOT</v>
      </c>
      <c r="S185" s="79" t="str">
        <f t="shared" si="34"/>
        <v>NOT</v>
      </c>
      <c r="T185" s="79" t="str">
        <f t="shared" si="35"/>
        <v>NOT</v>
      </c>
      <c r="V185" s="79" t="str">
        <f t="shared" si="36"/>
        <v/>
      </c>
    </row>
    <row r="186" spans="1:22" x14ac:dyDescent="0.2">
      <c r="B186" s="259"/>
      <c r="C186" s="88"/>
      <c r="D186" s="260"/>
      <c r="E186" s="243"/>
      <c r="F186" s="261"/>
      <c r="G186" s="243"/>
      <c r="H186" s="262"/>
      <c r="I186" s="243"/>
      <c r="J186" s="262"/>
      <c r="K186" s="88"/>
      <c r="L186" s="143">
        <f t="shared" si="32"/>
        <v>0</v>
      </c>
      <c r="N186" s="81"/>
      <c r="R186" s="79" t="str">
        <f t="shared" si="33"/>
        <v>NOT</v>
      </c>
      <c r="S186" s="79" t="str">
        <f t="shared" si="34"/>
        <v>NOT</v>
      </c>
      <c r="T186" s="79" t="str">
        <f t="shared" si="35"/>
        <v>NOT</v>
      </c>
      <c r="V186" s="79" t="str">
        <f t="shared" si="36"/>
        <v/>
      </c>
    </row>
    <row r="187" spans="1:22" x14ac:dyDescent="0.2">
      <c r="B187" s="259"/>
      <c r="C187" s="88"/>
      <c r="D187" s="260"/>
      <c r="E187" s="243"/>
      <c r="F187" s="261"/>
      <c r="G187" s="243"/>
      <c r="H187" s="262"/>
      <c r="I187" s="243"/>
      <c r="J187" s="262"/>
      <c r="K187" s="88"/>
      <c r="L187" s="143">
        <f t="shared" si="32"/>
        <v>0</v>
      </c>
      <c r="N187" s="81"/>
      <c r="R187" s="79" t="str">
        <f t="shared" si="33"/>
        <v>NOT</v>
      </c>
      <c r="S187" s="79" t="str">
        <f t="shared" si="34"/>
        <v>NOT</v>
      </c>
      <c r="T187" s="79" t="str">
        <f t="shared" si="35"/>
        <v>NOT</v>
      </c>
      <c r="V187" s="79" t="str">
        <f t="shared" si="36"/>
        <v/>
      </c>
    </row>
    <row r="188" spans="1:22" x14ac:dyDescent="0.2">
      <c r="B188" s="259"/>
      <c r="C188" s="88"/>
      <c r="D188" s="260"/>
      <c r="E188" s="243"/>
      <c r="F188" s="261"/>
      <c r="G188" s="243"/>
      <c r="H188" s="262"/>
      <c r="I188" s="243"/>
      <c r="J188" s="262"/>
      <c r="K188" s="88"/>
      <c r="L188" s="143">
        <f t="shared" si="32"/>
        <v>0</v>
      </c>
      <c r="N188" s="81"/>
      <c r="R188" s="79" t="str">
        <f t="shared" si="33"/>
        <v>NOT</v>
      </c>
      <c r="S188" s="79" t="str">
        <f t="shared" si="34"/>
        <v>NOT</v>
      </c>
      <c r="T188" s="79" t="str">
        <f t="shared" si="35"/>
        <v>NOT</v>
      </c>
      <c r="V188" s="79" t="str">
        <f t="shared" si="36"/>
        <v/>
      </c>
    </row>
    <row r="189" spans="1:22" x14ac:dyDescent="0.2">
      <c r="B189" s="259"/>
      <c r="C189" s="88"/>
      <c r="D189" s="260"/>
      <c r="E189" s="243"/>
      <c r="F189" s="261"/>
      <c r="G189" s="243"/>
      <c r="H189" s="262"/>
      <c r="I189" s="243"/>
      <c r="J189" s="262"/>
      <c r="K189" s="88"/>
      <c r="L189" s="143">
        <f t="shared" si="32"/>
        <v>0</v>
      </c>
      <c r="N189" s="81"/>
      <c r="R189" s="79" t="str">
        <f t="shared" si="33"/>
        <v>NOT</v>
      </c>
      <c r="S189" s="79" t="str">
        <f t="shared" si="34"/>
        <v>NOT</v>
      </c>
      <c r="T189" s="79" t="str">
        <f t="shared" si="35"/>
        <v>NOT</v>
      </c>
      <c r="V189" s="79" t="str">
        <f t="shared" si="36"/>
        <v/>
      </c>
    </row>
    <row r="190" spans="1:22" x14ac:dyDescent="0.2">
      <c r="B190" s="259"/>
      <c r="C190" s="88"/>
      <c r="D190" s="260"/>
      <c r="E190" s="243"/>
      <c r="F190" s="261"/>
      <c r="G190" s="243"/>
      <c r="H190" s="262"/>
      <c r="I190" s="243"/>
      <c r="J190" s="262"/>
      <c r="K190" s="88"/>
      <c r="L190" s="143">
        <f t="shared" si="32"/>
        <v>0</v>
      </c>
      <c r="N190" s="81"/>
      <c r="R190" s="79" t="str">
        <f t="shared" si="33"/>
        <v>NOT</v>
      </c>
      <c r="S190" s="79" t="str">
        <f t="shared" si="34"/>
        <v>NOT</v>
      </c>
      <c r="T190" s="79" t="str">
        <f t="shared" si="35"/>
        <v>NOT</v>
      </c>
      <c r="V190" s="79" t="str">
        <f t="shared" si="36"/>
        <v/>
      </c>
    </row>
    <row r="191" spans="1:22" x14ac:dyDescent="0.2">
      <c r="B191" s="104"/>
      <c r="C191" s="88"/>
      <c r="D191" s="81"/>
      <c r="F191" s="81"/>
      <c r="H191" s="81"/>
      <c r="J191" s="81"/>
      <c r="K191" s="88"/>
      <c r="L191" s="81"/>
      <c r="N191" s="227"/>
    </row>
    <row r="192" spans="1:22" ht="13.5" customHeight="1" x14ac:dyDescent="0.2">
      <c r="A192" s="276"/>
      <c r="B192" s="278" t="s">
        <v>297</v>
      </c>
      <c r="C192" s="277"/>
      <c r="D192" s="747" t="s">
        <v>166</v>
      </c>
      <c r="E192" s="748"/>
      <c r="F192" s="748"/>
      <c r="G192" s="748"/>
      <c r="H192" s="748"/>
      <c r="I192" s="279"/>
      <c r="J192" s="280" t="s">
        <v>18</v>
      </c>
      <c r="K192" s="88"/>
      <c r="L192" s="156">
        <f>SUM(L199:L203)</f>
        <v>0</v>
      </c>
      <c r="M192" s="246"/>
      <c r="N192" s="147">
        <f>IF(L192=0,0%,L192/L$8)</f>
        <v>0</v>
      </c>
      <c r="O192" s="495">
        <f>IF(LEN(R192)&gt;3,1,0)</f>
        <v>0</v>
      </c>
      <c r="R192" s="79" t="str">
        <f>IF(AND(R198="NOT",S198="NOT",T198="NOT"),"NOT",D192)</f>
        <v>NOT</v>
      </c>
    </row>
    <row r="193" spans="1:22" s="76" customFormat="1" ht="3" customHeight="1" x14ac:dyDescent="0.2">
      <c r="A193" s="87"/>
      <c r="B193" s="88"/>
      <c r="C193" s="88"/>
      <c r="D193" s="70"/>
      <c r="E193" s="70"/>
      <c r="F193" s="70"/>
      <c r="G193" s="70"/>
      <c r="H193" s="70"/>
      <c r="I193" s="70"/>
      <c r="J193" s="70"/>
      <c r="K193" s="88"/>
      <c r="L193" s="70"/>
      <c r="M193" s="70"/>
      <c r="N193" s="70"/>
      <c r="O193" s="89"/>
      <c r="V193" s="79"/>
    </row>
    <row r="194" spans="1:22" ht="25.5" customHeight="1" x14ac:dyDescent="0.2">
      <c r="B194" s="749" t="s">
        <v>646</v>
      </c>
      <c r="C194" s="750"/>
      <c r="D194" s="750"/>
      <c r="E194" s="750"/>
      <c r="F194" s="750"/>
      <c r="H194" s="81"/>
      <c r="J194" s="81"/>
      <c r="K194" s="88"/>
      <c r="L194" s="81"/>
      <c r="N194" s="227"/>
      <c r="R194" s="79" t="str">
        <f>IF(AND(($L192&gt;0),ISBLANK(B196)),B194,"NOT")</f>
        <v>NOT</v>
      </c>
    </row>
    <row r="195" spans="1:22" ht="3" customHeight="1" x14ac:dyDescent="0.2">
      <c r="B195" s="104"/>
      <c r="C195" s="88"/>
      <c r="D195" s="81"/>
      <c r="F195" s="81"/>
      <c r="H195" s="81"/>
      <c r="J195" s="81"/>
      <c r="K195" s="88"/>
      <c r="L195" s="81"/>
      <c r="N195" s="227"/>
    </row>
    <row r="196" spans="1:22" ht="60.75" customHeight="1" x14ac:dyDescent="0.2">
      <c r="B196" s="744"/>
      <c r="C196" s="745"/>
      <c r="D196" s="745"/>
      <c r="E196" s="745"/>
      <c r="F196" s="745"/>
      <c r="G196" s="745"/>
      <c r="H196" s="745"/>
      <c r="I196" s="745"/>
      <c r="J196" s="745"/>
      <c r="K196" s="745"/>
      <c r="L196" s="746"/>
      <c r="M196" s="70" t="s">
        <v>19</v>
      </c>
      <c r="N196" s="227"/>
    </row>
    <row r="197" spans="1:22" ht="3.75" customHeight="1" x14ac:dyDescent="0.2">
      <c r="B197" s="104"/>
      <c r="C197" s="88"/>
      <c r="D197" s="81"/>
      <c r="F197" s="81"/>
      <c r="H197" s="81"/>
      <c r="J197" s="81"/>
      <c r="K197" s="88"/>
      <c r="L197" s="81"/>
      <c r="N197" s="227"/>
    </row>
    <row r="198" spans="1:22" ht="12.75" customHeight="1" x14ac:dyDescent="0.2">
      <c r="B198" s="244" t="s">
        <v>17</v>
      </c>
      <c r="C198" s="88"/>
      <c r="D198" s="244" t="s">
        <v>580</v>
      </c>
      <c r="F198" s="244" t="s">
        <v>205</v>
      </c>
      <c r="H198" s="244" t="s">
        <v>16</v>
      </c>
      <c r="J198" s="244" t="s">
        <v>15</v>
      </c>
      <c r="K198" s="245"/>
      <c r="L198" s="103" t="s">
        <v>141</v>
      </c>
      <c r="N198" s="81"/>
      <c r="R198" s="255" t="str">
        <f>IF(AND(R199="NOT",R200="NOT",R201="NOT",R202="NOT",R203="NOT",R194="NOT"),"NOT",D192)</f>
        <v>NOT</v>
      </c>
      <c r="S198" s="255" t="str">
        <f>IF(AND(S199="NOT",S200="NOT",S201="NOT",S202="NOT",S203="NOT",R194="NOT"),"NOT",D192)</f>
        <v>NOT</v>
      </c>
      <c r="T198" s="255" t="str">
        <f>IF(AND(T199="NOT",T200="NOT",T201="NOT",T202="NOT",T203="NOT",R194="NOT"),"NOT",D192)</f>
        <v>NOT</v>
      </c>
    </row>
    <row r="199" spans="1:22" x14ac:dyDescent="0.2">
      <c r="B199" s="259"/>
      <c r="C199" s="88"/>
      <c r="D199" s="260"/>
      <c r="E199" s="243"/>
      <c r="F199" s="261"/>
      <c r="G199" s="243"/>
      <c r="H199" s="262"/>
      <c r="I199" s="243"/>
      <c r="J199" s="262"/>
      <c r="K199" s="88"/>
      <c r="L199" s="143">
        <f>TRUNC(H199*J199,2)</f>
        <v>0</v>
      </c>
      <c r="N199" s="81"/>
      <c r="R199" s="79" t="str">
        <f>IF(AND(($L199&gt;0),ISBLANK(B199)),B199,"NOT")</f>
        <v>NOT</v>
      </c>
      <c r="S199" s="79" t="str">
        <f>IF(AND(($L199&gt;0),ISBLANK(D199)),D199,"NOT")</f>
        <v>NOT</v>
      </c>
      <c r="T199" s="79" t="str">
        <f>IF(AND(($L199&gt;0),ISBLANK(F199)),F199,"NOT")</f>
        <v>NOT</v>
      </c>
      <c r="V199" s="79" t="str">
        <f>LEFT(D199,3)</f>
        <v/>
      </c>
    </row>
    <row r="200" spans="1:22" x14ac:dyDescent="0.2">
      <c r="B200" s="259"/>
      <c r="C200" s="88"/>
      <c r="D200" s="260"/>
      <c r="E200" s="243"/>
      <c r="F200" s="261"/>
      <c r="G200" s="243"/>
      <c r="H200" s="262"/>
      <c r="I200" s="243"/>
      <c r="J200" s="262"/>
      <c r="K200" s="88"/>
      <c r="L200" s="143">
        <f>TRUNC(H200*J200,2)</f>
        <v>0</v>
      </c>
      <c r="N200" s="81"/>
      <c r="R200" s="79" t="str">
        <f>IF(AND(($L200&gt;0),ISBLANK(B200)),B200,"NOT")</f>
        <v>NOT</v>
      </c>
      <c r="S200" s="79" t="str">
        <f>IF(AND(($L200&gt;0),ISBLANK(D200)),D200,"NOT")</f>
        <v>NOT</v>
      </c>
      <c r="T200" s="79" t="str">
        <f>IF(AND(($L200&gt;0),ISBLANK(F200)),F200,"NOT")</f>
        <v>NOT</v>
      </c>
      <c r="V200" s="79" t="str">
        <f t="shared" ref="V200:V203" si="37">LEFT(D200,3)</f>
        <v/>
      </c>
    </row>
    <row r="201" spans="1:22" x14ac:dyDescent="0.2">
      <c r="B201" s="259"/>
      <c r="C201" s="88"/>
      <c r="D201" s="260"/>
      <c r="E201" s="243"/>
      <c r="F201" s="261"/>
      <c r="G201" s="243"/>
      <c r="H201" s="262"/>
      <c r="I201" s="243"/>
      <c r="J201" s="262"/>
      <c r="K201" s="88"/>
      <c r="L201" s="143">
        <f>TRUNC(H201*J201,2)</f>
        <v>0</v>
      </c>
      <c r="N201" s="81"/>
      <c r="R201" s="79" t="str">
        <f>IF(AND(($L201&gt;0),ISBLANK(B201)),B201,"NOT")</f>
        <v>NOT</v>
      </c>
      <c r="S201" s="79" t="str">
        <f>IF(AND(($L201&gt;0),ISBLANK(D201)),D201,"NOT")</f>
        <v>NOT</v>
      </c>
      <c r="T201" s="79" t="str">
        <f>IF(AND(($L201&gt;0),ISBLANK(F201)),F201,"NOT")</f>
        <v>NOT</v>
      </c>
      <c r="V201" s="79" t="str">
        <f t="shared" si="37"/>
        <v/>
      </c>
    </row>
    <row r="202" spans="1:22" x14ac:dyDescent="0.2">
      <c r="B202" s="259"/>
      <c r="C202" s="88"/>
      <c r="D202" s="260"/>
      <c r="E202" s="243"/>
      <c r="F202" s="261"/>
      <c r="G202" s="243"/>
      <c r="H202" s="262"/>
      <c r="I202" s="243"/>
      <c r="J202" s="262"/>
      <c r="K202" s="88"/>
      <c r="L202" s="143">
        <f>TRUNC(H202*J202,2)</f>
        <v>0</v>
      </c>
      <c r="N202" s="81"/>
      <c r="R202" s="79" t="str">
        <f>IF(AND(($L202&gt;0),ISBLANK(B202)),B202,"NOT")</f>
        <v>NOT</v>
      </c>
      <c r="S202" s="79" t="str">
        <f>IF(AND(($L202&gt;0),ISBLANK(D202)),D202,"NOT")</f>
        <v>NOT</v>
      </c>
      <c r="T202" s="79" t="str">
        <f>IF(AND(($L202&gt;0),ISBLANK(F202)),F202,"NOT")</f>
        <v>NOT</v>
      </c>
      <c r="V202" s="79" t="str">
        <f t="shared" si="37"/>
        <v/>
      </c>
    </row>
    <row r="203" spans="1:22" x14ac:dyDescent="0.2">
      <c r="B203" s="259"/>
      <c r="C203" s="88"/>
      <c r="D203" s="260"/>
      <c r="E203" s="243"/>
      <c r="F203" s="261"/>
      <c r="G203" s="243"/>
      <c r="H203" s="262"/>
      <c r="I203" s="243"/>
      <c r="J203" s="262"/>
      <c r="K203" s="88"/>
      <c r="L203" s="143">
        <f>TRUNC(H203*J203,2)</f>
        <v>0</v>
      </c>
      <c r="N203" s="81"/>
      <c r="R203" s="79" t="str">
        <f>IF(AND(($L203&gt;0),ISBLANK(B203)),B203,"NOT")</f>
        <v>NOT</v>
      </c>
      <c r="S203" s="79" t="str">
        <f>IF(AND(($L203&gt;0),ISBLANK(D203)),D203,"NOT")</f>
        <v>NOT</v>
      </c>
      <c r="T203" s="79" t="str">
        <f>IF(AND(($L203&gt;0),ISBLANK(F203)),F203,"NOT")</f>
        <v>NOT</v>
      </c>
      <c r="V203" s="79" t="str">
        <f t="shared" si="37"/>
        <v/>
      </c>
    </row>
    <row r="204" spans="1:22" x14ac:dyDescent="0.2">
      <c r="B204" s="104"/>
      <c r="C204" s="88"/>
      <c r="D204" s="81"/>
      <c r="F204" s="81"/>
      <c r="H204" s="81"/>
      <c r="J204" s="81"/>
      <c r="K204" s="88"/>
      <c r="L204" s="81"/>
      <c r="N204" s="227"/>
    </row>
    <row r="205" spans="1:22" x14ac:dyDescent="0.2">
      <c r="B205" s="104"/>
      <c r="C205" s="88"/>
      <c r="D205" s="81"/>
      <c r="F205" s="81"/>
      <c r="H205" s="81"/>
      <c r="J205" s="81"/>
      <c r="K205" s="88"/>
      <c r="L205" s="81"/>
      <c r="N205" s="227"/>
    </row>
    <row r="206" spans="1:22" ht="27" customHeight="1" x14ac:dyDescent="0.2">
      <c r="A206" s="247">
        <v>6</v>
      </c>
      <c r="B206" s="248" t="s">
        <v>298</v>
      </c>
      <c r="C206" s="249"/>
      <c r="D206" s="760"/>
      <c r="E206" s="761"/>
      <c r="F206" s="761"/>
      <c r="G206" s="761"/>
      <c r="H206" s="762"/>
      <c r="I206" s="250"/>
      <c r="J206" s="251" t="s">
        <v>18</v>
      </c>
      <c r="K206" s="249"/>
      <c r="L206" s="252">
        <f>L208+L226</f>
        <v>0</v>
      </c>
      <c r="M206" s="250"/>
      <c r="N206" s="253">
        <f>IF(L206=0,0%,L206/L$8)</f>
        <v>0</v>
      </c>
      <c r="O206" s="94"/>
      <c r="P206" s="95"/>
      <c r="Q206" s="79" t="e">
        <f>IF(AND(R227=#REF!,#REF!&gt;#REF!),D206,0)</f>
        <v>#REF!</v>
      </c>
      <c r="R206" s="79" t="e">
        <f>IF(AND(R227=#REF!,#REF!&gt;#REF!),D206,0)</f>
        <v>#REF!</v>
      </c>
      <c r="S206" s="79">
        <f>IF('9. Project budget summary'!T41&gt;0,('9. Project budget summary'!T37+'9. Project budget summary'!T33)/'9. Project budget summary'!T41,0)</f>
        <v>0.67187048492599999</v>
      </c>
      <c r="T206" s="231" t="s">
        <v>172</v>
      </c>
      <c r="U206" s="320" t="s">
        <v>183</v>
      </c>
      <c r="V206" s="271">
        <v>0.7</v>
      </c>
    </row>
    <row r="207" spans="1:22" s="76" customFormat="1" ht="7.5" customHeight="1" x14ac:dyDescent="0.2">
      <c r="A207" s="87"/>
      <c r="B207" s="88"/>
      <c r="C207" s="88"/>
      <c r="D207" s="70"/>
      <c r="E207" s="70"/>
      <c r="F207" s="70"/>
      <c r="G207" s="70"/>
      <c r="H207" s="70"/>
      <c r="I207" s="70"/>
      <c r="J207" s="70"/>
      <c r="K207" s="88"/>
      <c r="L207" s="70"/>
      <c r="M207" s="70"/>
      <c r="N207" s="70"/>
      <c r="O207" s="89"/>
      <c r="V207" s="79"/>
    </row>
    <row r="208" spans="1:22" ht="13.5" customHeight="1" x14ac:dyDescent="0.2">
      <c r="A208" s="276"/>
      <c r="B208" s="278" t="s">
        <v>301</v>
      </c>
      <c r="C208" s="277"/>
      <c r="D208" s="747" t="s">
        <v>166</v>
      </c>
      <c r="E208" s="748"/>
      <c r="F208" s="748"/>
      <c r="G208" s="748"/>
      <c r="H208" s="748"/>
      <c r="I208" s="279"/>
      <c r="J208" s="280" t="s">
        <v>18</v>
      </c>
      <c r="K208" s="88"/>
      <c r="L208" s="156">
        <f>SUM(L215:L224)</f>
        <v>0</v>
      </c>
      <c r="M208" s="246"/>
      <c r="N208" s="147">
        <f>IF(L208=0,0%,L208/L$8)</f>
        <v>0</v>
      </c>
      <c r="O208" s="495">
        <f>IF(LEN(R208)&gt;3,1,0)</f>
        <v>0</v>
      </c>
      <c r="R208" s="79" t="str">
        <f>IF(AND(R214="NOT",S214="NOT",T214="NOT"),"NOT",D208)</f>
        <v>NOT</v>
      </c>
    </row>
    <row r="209" spans="1:22" s="76" customFormat="1" ht="3" customHeight="1" x14ac:dyDescent="0.2">
      <c r="A209" s="87"/>
      <c r="B209" s="88"/>
      <c r="C209" s="88"/>
      <c r="D209" s="70"/>
      <c r="E209" s="70"/>
      <c r="F209" s="70"/>
      <c r="G209" s="70"/>
      <c r="H209" s="70"/>
      <c r="I209" s="70"/>
      <c r="J209" s="70"/>
      <c r="K209" s="88"/>
      <c r="L209" s="70"/>
      <c r="M209" s="70"/>
      <c r="N209" s="70"/>
      <c r="O209" s="89"/>
      <c r="V209" s="79"/>
    </row>
    <row r="210" spans="1:22" ht="24.75" customHeight="1" x14ac:dyDescent="0.2">
      <c r="B210" s="749" t="s">
        <v>203</v>
      </c>
      <c r="C210" s="750"/>
      <c r="D210" s="750"/>
      <c r="E210" s="750"/>
      <c r="F210" s="750"/>
      <c r="H210" s="81"/>
      <c r="J210" s="81"/>
      <c r="K210" s="88"/>
      <c r="L210" s="81"/>
      <c r="N210" s="227"/>
      <c r="R210" s="79" t="str">
        <f>IF(AND(($L208&gt;0),ISBLANK(B212)),B210,"NOT")</f>
        <v>NOT</v>
      </c>
    </row>
    <row r="211" spans="1:22" ht="3" customHeight="1" x14ac:dyDescent="0.2">
      <c r="B211" s="104"/>
      <c r="C211" s="88"/>
      <c r="D211" s="81"/>
      <c r="F211" s="81"/>
      <c r="H211" s="81"/>
      <c r="J211" s="81"/>
      <c r="K211" s="88"/>
      <c r="L211" s="81"/>
      <c r="N211" s="227"/>
    </row>
    <row r="212" spans="1:22" ht="90" customHeight="1" x14ac:dyDescent="0.2">
      <c r="B212" s="744"/>
      <c r="C212" s="745"/>
      <c r="D212" s="745"/>
      <c r="E212" s="745"/>
      <c r="F212" s="745"/>
      <c r="G212" s="745"/>
      <c r="H212" s="745"/>
      <c r="I212" s="745"/>
      <c r="J212" s="745"/>
      <c r="K212" s="745"/>
      <c r="L212" s="746"/>
      <c r="M212" s="70" t="s">
        <v>19</v>
      </c>
      <c r="N212" s="227"/>
    </row>
    <row r="213" spans="1:22" ht="3.75" customHeight="1" x14ac:dyDescent="0.2">
      <c r="B213" s="104"/>
      <c r="C213" s="88"/>
      <c r="D213" s="81"/>
      <c r="F213" s="81"/>
      <c r="H213" s="81"/>
      <c r="J213" s="81"/>
      <c r="K213" s="88"/>
      <c r="L213" s="81"/>
      <c r="N213" s="227"/>
    </row>
    <row r="214" spans="1:22" ht="38.25" x14ac:dyDescent="0.2">
      <c r="B214" s="244" t="s">
        <v>204</v>
      </c>
      <c r="C214" s="88"/>
      <c r="D214" s="244" t="s">
        <v>580</v>
      </c>
      <c r="F214" s="244" t="s">
        <v>205</v>
      </c>
      <c r="H214" s="244" t="s">
        <v>16</v>
      </c>
      <c r="J214" s="244" t="s">
        <v>15</v>
      </c>
      <c r="K214" s="245"/>
      <c r="L214" s="103" t="s">
        <v>141</v>
      </c>
      <c r="N214" s="81"/>
      <c r="R214" s="255" t="str">
        <f>IF(AND(R215="NOT",R216="NOT",R217="NOT",R218="NOT",R219="NOT",R220="NOT",R221="NOT",R222="NOT",R223="NOT",R224="NOT",R210="NOT"),"NOT",D208)</f>
        <v>NOT</v>
      </c>
      <c r="S214" s="255" t="str">
        <f>IF(AND(S215="NOT",S216="NOT",S217="NOT",S218="NOT",S219="NOT",S220="NOT",S221="NOT",S222="NOT",S223="NOT",S224="NOT",R210="NOT"),"NOT",D208)</f>
        <v>NOT</v>
      </c>
      <c r="T214" s="255" t="str">
        <f>IF(AND(T215="NOT",T216="NOT",T217="NOT",T218="NOT",T219="NOT",T220="NOT",T221="NOT",T222="NOT",T223="NOT",T224="NOT",R210="NOT"),"NOT",D208)</f>
        <v>NOT</v>
      </c>
    </row>
    <row r="215" spans="1:22" x14ac:dyDescent="0.2">
      <c r="B215" s="259"/>
      <c r="C215" s="88"/>
      <c r="D215" s="260"/>
      <c r="E215" s="243"/>
      <c r="F215" s="261"/>
      <c r="G215" s="243"/>
      <c r="H215" s="262"/>
      <c r="I215" s="243"/>
      <c r="J215" s="262"/>
      <c r="K215" s="88"/>
      <c r="L215" s="143">
        <f t="shared" ref="L215:L224" si="38">TRUNC(H215*J215,2)</f>
        <v>0</v>
      </c>
      <c r="N215" s="81"/>
      <c r="R215" s="79" t="str">
        <f t="shared" ref="R215:R224" si="39">IF(AND(($L215&gt;0),ISBLANK(B215)),B215,"NOT")</f>
        <v>NOT</v>
      </c>
      <c r="S215" s="79" t="str">
        <f t="shared" ref="S215:S224" si="40">IF(AND(($L215&gt;0),ISBLANK(D215)),D215,"NOT")</f>
        <v>NOT</v>
      </c>
      <c r="T215" s="79" t="str">
        <f t="shared" ref="T215:T224" si="41">IF(AND(($L215&gt;0),ISBLANK(F215)),F215,"NOT")</f>
        <v>NOT</v>
      </c>
      <c r="V215" s="79" t="str">
        <f t="shared" ref="V215:V224" si="42">LEFT(D215,3)</f>
        <v/>
      </c>
    </row>
    <row r="216" spans="1:22" x14ac:dyDescent="0.2">
      <c r="B216" s="259"/>
      <c r="C216" s="88"/>
      <c r="D216" s="260"/>
      <c r="E216" s="243"/>
      <c r="F216" s="261"/>
      <c r="G216" s="243"/>
      <c r="H216" s="262"/>
      <c r="I216" s="243"/>
      <c r="J216" s="262"/>
      <c r="K216" s="88"/>
      <c r="L216" s="143">
        <f t="shared" si="38"/>
        <v>0</v>
      </c>
      <c r="N216" s="81"/>
      <c r="R216" s="79" t="str">
        <f t="shared" si="39"/>
        <v>NOT</v>
      </c>
      <c r="S216" s="79" t="str">
        <f t="shared" si="40"/>
        <v>NOT</v>
      </c>
      <c r="T216" s="79" t="str">
        <f t="shared" si="41"/>
        <v>NOT</v>
      </c>
      <c r="V216" s="79" t="str">
        <f t="shared" si="42"/>
        <v/>
      </c>
    </row>
    <row r="217" spans="1:22" x14ac:dyDescent="0.2">
      <c r="B217" s="259"/>
      <c r="C217" s="88"/>
      <c r="D217" s="260"/>
      <c r="E217" s="243"/>
      <c r="F217" s="261"/>
      <c r="G217" s="243"/>
      <c r="H217" s="262"/>
      <c r="I217" s="243"/>
      <c r="J217" s="262"/>
      <c r="K217" s="88"/>
      <c r="L217" s="143">
        <f t="shared" si="38"/>
        <v>0</v>
      </c>
      <c r="N217" s="81"/>
      <c r="R217" s="79" t="str">
        <f t="shared" si="39"/>
        <v>NOT</v>
      </c>
      <c r="S217" s="79" t="str">
        <f t="shared" si="40"/>
        <v>NOT</v>
      </c>
      <c r="T217" s="79" t="str">
        <f t="shared" si="41"/>
        <v>NOT</v>
      </c>
      <c r="V217" s="79" t="str">
        <f t="shared" si="42"/>
        <v/>
      </c>
    </row>
    <row r="218" spans="1:22" x14ac:dyDescent="0.2">
      <c r="B218" s="259"/>
      <c r="C218" s="88"/>
      <c r="D218" s="260"/>
      <c r="E218" s="243"/>
      <c r="F218" s="261"/>
      <c r="G218" s="243"/>
      <c r="H218" s="262"/>
      <c r="I218" s="243"/>
      <c r="J218" s="262"/>
      <c r="K218" s="88"/>
      <c r="L218" s="143">
        <f t="shared" si="38"/>
        <v>0</v>
      </c>
      <c r="N218" s="81"/>
      <c r="R218" s="79" t="str">
        <f t="shared" si="39"/>
        <v>NOT</v>
      </c>
      <c r="S218" s="79" t="str">
        <f t="shared" si="40"/>
        <v>NOT</v>
      </c>
      <c r="T218" s="79" t="str">
        <f t="shared" si="41"/>
        <v>NOT</v>
      </c>
      <c r="V218" s="79" t="str">
        <f t="shared" si="42"/>
        <v/>
      </c>
    </row>
    <row r="219" spans="1:22" x14ac:dyDescent="0.2">
      <c r="B219" s="259"/>
      <c r="C219" s="88"/>
      <c r="D219" s="260"/>
      <c r="E219" s="243"/>
      <c r="F219" s="261"/>
      <c r="G219" s="243"/>
      <c r="H219" s="262"/>
      <c r="I219" s="243"/>
      <c r="J219" s="262"/>
      <c r="K219" s="88"/>
      <c r="L219" s="143">
        <f t="shared" si="38"/>
        <v>0</v>
      </c>
      <c r="N219" s="81"/>
      <c r="R219" s="79" t="str">
        <f t="shared" si="39"/>
        <v>NOT</v>
      </c>
      <c r="S219" s="79" t="str">
        <f t="shared" si="40"/>
        <v>NOT</v>
      </c>
      <c r="T219" s="79" t="str">
        <f t="shared" si="41"/>
        <v>NOT</v>
      </c>
      <c r="V219" s="79" t="str">
        <f t="shared" si="42"/>
        <v/>
      </c>
    </row>
    <row r="220" spans="1:22" x14ac:dyDescent="0.2">
      <c r="B220" s="259"/>
      <c r="C220" s="88"/>
      <c r="D220" s="260"/>
      <c r="E220" s="243"/>
      <c r="F220" s="261"/>
      <c r="G220" s="243"/>
      <c r="H220" s="262"/>
      <c r="I220" s="243"/>
      <c r="J220" s="262"/>
      <c r="K220" s="88"/>
      <c r="L220" s="143">
        <f t="shared" si="38"/>
        <v>0</v>
      </c>
      <c r="N220" s="81"/>
      <c r="R220" s="79" t="str">
        <f t="shared" si="39"/>
        <v>NOT</v>
      </c>
      <c r="S220" s="79" t="str">
        <f t="shared" si="40"/>
        <v>NOT</v>
      </c>
      <c r="T220" s="79" t="str">
        <f t="shared" si="41"/>
        <v>NOT</v>
      </c>
      <c r="V220" s="79" t="str">
        <f t="shared" si="42"/>
        <v/>
      </c>
    </row>
    <row r="221" spans="1:22" x14ac:dyDescent="0.2">
      <c r="B221" s="259"/>
      <c r="C221" s="88"/>
      <c r="D221" s="260"/>
      <c r="E221" s="243"/>
      <c r="F221" s="261"/>
      <c r="G221" s="243"/>
      <c r="H221" s="262"/>
      <c r="I221" s="243"/>
      <c r="J221" s="262"/>
      <c r="K221" s="88"/>
      <c r="L221" s="143">
        <f t="shared" si="38"/>
        <v>0</v>
      </c>
      <c r="N221" s="81"/>
      <c r="R221" s="79" t="str">
        <f t="shared" si="39"/>
        <v>NOT</v>
      </c>
      <c r="S221" s="79" t="str">
        <f t="shared" si="40"/>
        <v>NOT</v>
      </c>
      <c r="T221" s="79" t="str">
        <f t="shared" si="41"/>
        <v>NOT</v>
      </c>
      <c r="V221" s="79" t="str">
        <f t="shared" si="42"/>
        <v/>
      </c>
    </row>
    <row r="222" spans="1:22" x14ac:dyDescent="0.2">
      <c r="B222" s="259"/>
      <c r="C222" s="88"/>
      <c r="D222" s="260"/>
      <c r="E222" s="243"/>
      <c r="F222" s="261"/>
      <c r="G222" s="243"/>
      <c r="H222" s="262"/>
      <c r="I222" s="243"/>
      <c r="J222" s="262"/>
      <c r="K222" s="88"/>
      <c r="L222" s="143">
        <f t="shared" si="38"/>
        <v>0</v>
      </c>
      <c r="N222" s="81"/>
      <c r="R222" s="79" t="str">
        <f t="shared" si="39"/>
        <v>NOT</v>
      </c>
      <c r="S222" s="79" t="str">
        <f t="shared" si="40"/>
        <v>NOT</v>
      </c>
      <c r="T222" s="79" t="str">
        <f t="shared" si="41"/>
        <v>NOT</v>
      </c>
      <c r="V222" s="79" t="str">
        <f t="shared" si="42"/>
        <v/>
      </c>
    </row>
    <row r="223" spans="1:22" x14ac:dyDescent="0.2">
      <c r="B223" s="259"/>
      <c r="C223" s="88"/>
      <c r="D223" s="260"/>
      <c r="E223" s="243"/>
      <c r="F223" s="261"/>
      <c r="G223" s="243"/>
      <c r="H223" s="262"/>
      <c r="I223" s="243"/>
      <c r="J223" s="262"/>
      <c r="K223" s="88"/>
      <c r="L223" s="143">
        <f t="shared" si="38"/>
        <v>0</v>
      </c>
      <c r="N223" s="81"/>
      <c r="R223" s="79" t="str">
        <f t="shared" si="39"/>
        <v>NOT</v>
      </c>
      <c r="S223" s="79" t="str">
        <f t="shared" si="40"/>
        <v>NOT</v>
      </c>
      <c r="T223" s="79" t="str">
        <f t="shared" si="41"/>
        <v>NOT</v>
      </c>
      <c r="V223" s="79" t="str">
        <f t="shared" si="42"/>
        <v/>
      </c>
    </row>
    <row r="224" spans="1:22" x14ac:dyDescent="0.2">
      <c r="B224" s="259"/>
      <c r="C224" s="88"/>
      <c r="D224" s="260"/>
      <c r="E224" s="243"/>
      <c r="F224" s="261"/>
      <c r="G224" s="243"/>
      <c r="H224" s="262"/>
      <c r="I224" s="243"/>
      <c r="J224" s="262"/>
      <c r="K224" s="88"/>
      <c r="L224" s="143">
        <f t="shared" si="38"/>
        <v>0</v>
      </c>
      <c r="N224" s="81"/>
      <c r="R224" s="79" t="str">
        <f t="shared" si="39"/>
        <v>NOT</v>
      </c>
      <c r="S224" s="79" t="str">
        <f t="shared" si="40"/>
        <v>NOT</v>
      </c>
      <c r="T224" s="79" t="str">
        <f t="shared" si="41"/>
        <v>NOT</v>
      </c>
      <c r="V224" s="79" t="str">
        <f t="shared" si="42"/>
        <v/>
      </c>
    </row>
    <row r="225" spans="1:22" x14ac:dyDescent="0.2">
      <c r="B225" s="104"/>
      <c r="C225" s="88"/>
      <c r="D225" s="81"/>
      <c r="F225" s="81"/>
      <c r="H225" s="81"/>
      <c r="J225" s="81"/>
      <c r="K225" s="88"/>
      <c r="L225" s="81"/>
      <c r="N225" s="227"/>
    </row>
    <row r="226" spans="1:22" ht="13.5" customHeight="1" x14ac:dyDescent="0.2">
      <c r="A226" s="276"/>
      <c r="B226" s="278" t="s">
        <v>302</v>
      </c>
      <c r="C226" s="249"/>
      <c r="D226" s="754" t="s">
        <v>300</v>
      </c>
      <c r="E226" s="755"/>
      <c r="F226" s="755"/>
      <c r="G226" s="755"/>
      <c r="H226" s="756"/>
      <c r="I226" s="250"/>
      <c r="J226" s="280" t="s">
        <v>18</v>
      </c>
      <c r="K226" s="88"/>
      <c r="L226" s="156">
        <f>IF(LEN(D1)&gt;5,1000,0)</f>
        <v>0</v>
      </c>
      <c r="M226" s="246"/>
      <c r="N226" s="147">
        <f>IF(L226=0,0%,L226/L$8)</f>
        <v>0</v>
      </c>
      <c r="R226" s="79" t="e">
        <f>IF(AND(#REF!="NOT",#REF!="NOT",#REF!="NOT"),"NOT",D226)</f>
        <v>#REF!</v>
      </c>
    </row>
    <row r="227" spans="1:22" x14ac:dyDescent="0.2">
      <c r="B227" s="104"/>
      <c r="C227" s="88"/>
      <c r="D227" s="81"/>
      <c r="F227" s="81"/>
      <c r="H227" s="81"/>
      <c r="J227" s="81"/>
      <c r="K227" s="88"/>
      <c r="L227" s="81"/>
      <c r="N227" s="227"/>
      <c r="R227" s="321" t="str">
        <f>LEFT('1. General Data'!E25,5)</f>
        <v>2.1.1</v>
      </c>
      <c r="S227" s="231">
        <f>IF('9. Project budget summary'!T41&gt;0,'9. Project budget summary'!T37/'9. Project budget summary'!T41,0)</f>
        <v>0.52183891467003807</v>
      </c>
      <c r="T227" s="231" t="s">
        <v>170</v>
      </c>
      <c r="U227" s="320" t="s">
        <v>26</v>
      </c>
      <c r="V227" s="271">
        <v>0.5</v>
      </c>
    </row>
    <row r="228" spans="1:22" ht="40.5" customHeight="1" x14ac:dyDescent="0.2">
      <c r="A228" s="247">
        <v>7</v>
      </c>
      <c r="B228" s="248" t="s">
        <v>299</v>
      </c>
      <c r="C228" s="249"/>
      <c r="D228" s="317"/>
      <c r="E228" s="327"/>
      <c r="F228" s="757"/>
      <c r="G228" s="758"/>
      <c r="H228" s="759"/>
      <c r="I228" s="250"/>
      <c r="J228" s="251" t="s">
        <v>18</v>
      </c>
      <c r="K228" s="249"/>
      <c r="L228" s="252">
        <f>L230+L248</f>
        <v>0</v>
      </c>
      <c r="M228" s="250"/>
      <c r="N228" s="253">
        <f>IF(L228=0,0%,L228/L$8)</f>
        <v>0</v>
      </c>
      <c r="O228" s="94"/>
      <c r="P228" s="95"/>
      <c r="Q228" s="321" t="e">
        <f>IF(R227=#REF!,IF(#REF!&gt;#REF!,D228,0),IF(AND(OR(R227=U228,R227=#REF!,R227=U229),N228&gt;V228),D228,0))</f>
        <v>#REF!</v>
      </c>
      <c r="R228" s="321">
        <f>IF(AND(R227=U227,S227&lt;V227),F228,0)</f>
        <v>0</v>
      </c>
      <c r="S228" s="231">
        <f>IF('9. Project budget summary'!T41&gt;0,'9. Project budget summary'!T37/'9. Project budget summary'!T41,0)</f>
        <v>0.52183891467003807</v>
      </c>
      <c r="T228" s="231" t="s">
        <v>171</v>
      </c>
      <c r="U228" s="320" t="s">
        <v>32</v>
      </c>
      <c r="V228" s="271">
        <v>0.7</v>
      </c>
    </row>
    <row r="229" spans="1:22" s="76" customFormat="1" ht="7.5" customHeight="1" x14ac:dyDescent="0.2">
      <c r="A229" s="87"/>
      <c r="B229" s="88"/>
      <c r="C229" s="88"/>
      <c r="D229" s="70"/>
      <c r="E229" s="70"/>
      <c r="F229" s="70"/>
      <c r="G229" s="70"/>
      <c r="H229" s="70"/>
      <c r="I229" s="70"/>
      <c r="J229" s="70"/>
      <c r="K229" s="88"/>
      <c r="L229" s="70"/>
      <c r="M229" s="70"/>
      <c r="N229" s="70"/>
      <c r="O229" s="89"/>
      <c r="S229" s="231">
        <f>IF('9. Project budget summary'!T41&gt;0,'9. Project budget summary'!T37/'9. Project budget summary'!T41,0)</f>
        <v>0.52183891467003807</v>
      </c>
      <c r="T229" s="231" t="s">
        <v>171</v>
      </c>
      <c r="U229" s="320" t="s">
        <v>24</v>
      </c>
      <c r="V229" s="271">
        <v>0.7</v>
      </c>
    </row>
    <row r="230" spans="1:22" ht="28.5" customHeight="1" x14ac:dyDescent="0.2">
      <c r="A230" s="276"/>
      <c r="B230" s="278" t="s">
        <v>303</v>
      </c>
      <c r="C230" s="277"/>
      <c r="D230" s="747" t="s">
        <v>166</v>
      </c>
      <c r="E230" s="748"/>
      <c r="F230" s="748"/>
      <c r="G230" s="748"/>
      <c r="H230" s="748"/>
      <c r="I230" s="279"/>
      <c r="J230" s="280" t="s">
        <v>18</v>
      </c>
      <c r="K230" s="88"/>
      <c r="L230" s="156">
        <f>SUM(L237:L246)</f>
        <v>0</v>
      </c>
      <c r="M230" s="246"/>
      <c r="N230" s="147">
        <f>IF(L230=0,0%,L230/L$8)</f>
        <v>0</v>
      </c>
      <c r="O230" s="495">
        <f>IF(LEN(R230)&gt;3,1,0)</f>
        <v>0</v>
      </c>
      <c r="R230" s="79" t="str">
        <f>IF(AND(R236="NOT",S236="NOT",T236="NOT"),"NOT",D230)</f>
        <v>NOT</v>
      </c>
      <c r="U230" s="328"/>
    </row>
    <row r="231" spans="1:22" s="76" customFormat="1" ht="3" customHeight="1" x14ac:dyDescent="0.2">
      <c r="A231" s="87"/>
      <c r="B231" s="88"/>
      <c r="C231" s="88"/>
      <c r="D231" s="70"/>
      <c r="E231" s="70"/>
      <c r="F231" s="70"/>
      <c r="G231" s="70"/>
      <c r="H231" s="70"/>
      <c r="I231" s="70"/>
      <c r="J231" s="70"/>
      <c r="K231" s="88"/>
      <c r="L231" s="70"/>
      <c r="M231" s="70"/>
      <c r="N231" s="70"/>
      <c r="O231" s="89"/>
      <c r="V231" s="79"/>
    </row>
    <row r="232" spans="1:22" ht="29.25" customHeight="1" x14ac:dyDescent="0.2">
      <c r="B232" s="749" t="s">
        <v>203</v>
      </c>
      <c r="C232" s="750"/>
      <c r="D232" s="750"/>
      <c r="E232" s="750"/>
      <c r="F232" s="750"/>
      <c r="H232" s="81"/>
      <c r="J232" s="81"/>
      <c r="K232" s="88"/>
      <c r="L232" s="81"/>
      <c r="N232" s="227"/>
      <c r="R232" s="79" t="str">
        <f>IF(AND(($L230&gt;0),ISBLANK(B234)),B232,"NOT")</f>
        <v>NOT</v>
      </c>
    </row>
    <row r="233" spans="1:22" ht="3" customHeight="1" x14ac:dyDescent="0.2">
      <c r="B233" s="104"/>
      <c r="C233" s="88"/>
      <c r="D233" s="81"/>
      <c r="F233" s="81"/>
      <c r="H233" s="81"/>
      <c r="J233" s="81"/>
      <c r="K233" s="88"/>
      <c r="L233" s="81"/>
      <c r="N233" s="227"/>
    </row>
    <row r="234" spans="1:22" ht="90" customHeight="1" x14ac:dyDescent="0.2">
      <c r="B234" s="744"/>
      <c r="C234" s="745"/>
      <c r="D234" s="745"/>
      <c r="E234" s="745"/>
      <c r="F234" s="745"/>
      <c r="G234" s="745"/>
      <c r="H234" s="745"/>
      <c r="I234" s="745"/>
      <c r="J234" s="745"/>
      <c r="K234" s="745"/>
      <c r="L234" s="746"/>
      <c r="M234" s="70" t="s">
        <v>19</v>
      </c>
      <c r="N234" s="227"/>
    </row>
    <row r="235" spans="1:22" ht="3.75" customHeight="1" x14ac:dyDescent="0.2">
      <c r="B235" s="104"/>
      <c r="C235" s="88"/>
      <c r="D235" s="81"/>
      <c r="F235" s="81"/>
      <c r="H235" s="81"/>
      <c r="J235" s="81"/>
      <c r="K235" s="88"/>
      <c r="L235" s="81"/>
      <c r="N235" s="227"/>
    </row>
    <row r="236" spans="1:22" ht="12.75" customHeight="1" x14ac:dyDescent="0.2">
      <c r="B236" s="244" t="s">
        <v>17</v>
      </c>
      <c r="C236" s="88"/>
      <c r="D236" s="244" t="s">
        <v>580</v>
      </c>
      <c r="F236" s="244" t="s">
        <v>205</v>
      </c>
      <c r="H236" s="244" t="s">
        <v>16</v>
      </c>
      <c r="J236" s="244" t="s">
        <v>15</v>
      </c>
      <c r="K236" s="245"/>
      <c r="L236" s="103" t="s">
        <v>141</v>
      </c>
      <c r="N236" s="81"/>
      <c r="R236" s="255" t="str">
        <f>IF(AND(R237="NOT",R238="NOT",R239="NOT",R240="NOT",R241="NOT",R242="NOT",R243="NOT",R244="NOT",R245="NOT",R246="NOT",R232="NOT"),"NOT",D230)</f>
        <v>NOT</v>
      </c>
      <c r="S236" s="255" t="str">
        <f>IF(AND(S237="NOT",S238="NOT",S239="NOT",S240="NOT",S241="NOT",S242="NOT",S243="NOT",S244="NOT",S245="NOT",S246="NOT",R232="NOT"),"NOT",D230)</f>
        <v>NOT</v>
      </c>
      <c r="T236" s="255" t="str">
        <f>IF(AND(T237="NOT",T238="NOT",T239="NOT",T240="NOT",T241="NOT",T242="NOT",T243="NOT",T244="NOT",T245="NOT",T246="NOT",R232="NOT"),"NOT",D230)</f>
        <v>NOT</v>
      </c>
    </row>
    <row r="237" spans="1:22" x14ac:dyDescent="0.2">
      <c r="B237" s="259"/>
      <c r="C237" s="88"/>
      <c r="D237" s="260"/>
      <c r="E237" s="243"/>
      <c r="F237" s="261"/>
      <c r="G237" s="243"/>
      <c r="H237" s="262"/>
      <c r="I237" s="243"/>
      <c r="J237" s="262"/>
      <c r="K237" s="88"/>
      <c r="L237" s="143">
        <f t="shared" ref="L237:L246" si="43">TRUNC(H237*J237,2)</f>
        <v>0</v>
      </c>
      <c r="N237" s="81"/>
      <c r="R237" s="79" t="str">
        <f t="shared" ref="R237:R246" si="44">IF(AND(($L237&gt;0),ISBLANK(B237)),B237,"NOT")</f>
        <v>NOT</v>
      </c>
      <c r="S237" s="79" t="str">
        <f t="shared" ref="S237:S246" si="45">IF(AND(($L237&gt;0),ISBLANK(D237)),D237,"NOT")</f>
        <v>NOT</v>
      </c>
      <c r="T237" s="79" t="str">
        <f t="shared" ref="T237:T246" si="46">IF(AND(($L237&gt;0),ISBLANK(F237)),F237,"NOT")</f>
        <v>NOT</v>
      </c>
      <c r="V237" s="79" t="str">
        <f t="shared" ref="V237:V246" si="47">LEFT(D237,3)</f>
        <v/>
      </c>
    </row>
    <row r="238" spans="1:22" x14ac:dyDescent="0.2">
      <c r="B238" s="259"/>
      <c r="C238" s="88"/>
      <c r="D238" s="260"/>
      <c r="E238" s="243"/>
      <c r="F238" s="261"/>
      <c r="G238" s="243"/>
      <c r="H238" s="262"/>
      <c r="I238" s="243"/>
      <c r="J238" s="262"/>
      <c r="K238" s="88"/>
      <c r="L238" s="143">
        <f t="shared" si="43"/>
        <v>0</v>
      </c>
      <c r="N238" s="81"/>
      <c r="R238" s="79" t="str">
        <f t="shared" si="44"/>
        <v>NOT</v>
      </c>
      <c r="S238" s="79" t="str">
        <f t="shared" si="45"/>
        <v>NOT</v>
      </c>
      <c r="T238" s="79" t="str">
        <f t="shared" si="46"/>
        <v>NOT</v>
      </c>
      <c r="V238" s="79" t="str">
        <f t="shared" si="47"/>
        <v/>
      </c>
    </row>
    <row r="239" spans="1:22" x14ac:dyDescent="0.2">
      <c r="B239" s="259"/>
      <c r="C239" s="88"/>
      <c r="D239" s="260"/>
      <c r="E239" s="243"/>
      <c r="F239" s="261"/>
      <c r="G239" s="243"/>
      <c r="H239" s="262"/>
      <c r="I239" s="243"/>
      <c r="J239" s="262"/>
      <c r="K239" s="88"/>
      <c r="L239" s="143">
        <f t="shared" si="43"/>
        <v>0</v>
      </c>
      <c r="N239" s="81"/>
      <c r="R239" s="79" t="str">
        <f t="shared" si="44"/>
        <v>NOT</v>
      </c>
      <c r="S239" s="79" t="str">
        <f t="shared" si="45"/>
        <v>NOT</v>
      </c>
      <c r="T239" s="79" t="str">
        <f t="shared" si="46"/>
        <v>NOT</v>
      </c>
      <c r="V239" s="79" t="str">
        <f t="shared" si="47"/>
        <v/>
      </c>
    </row>
    <row r="240" spans="1:22" x14ac:dyDescent="0.2">
      <c r="B240" s="259"/>
      <c r="C240" s="88"/>
      <c r="D240" s="260"/>
      <c r="E240" s="243"/>
      <c r="F240" s="261"/>
      <c r="G240" s="243"/>
      <c r="H240" s="262"/>
      <c r="I240" s="243"/>
      <c r="J240" s="262"/>
      <c r="K240" s="88"/>
      <c r="L240" s="143">
        <f t="shared" si="43"/>
        <v>0</v>
      </c>
      <c r="N240" s="81"/>
      <c r="R240" s="79" t="str">
        <f t="shared" si="44"/>
        <v>NOT</v>
      </c>
      <c r="S240" s="79" t="str">
        <f t="shared" si="45"/>
        <v>NOT</v>
      </c>
      <c r="T240" s="79" t="str">
        <f t="shared" si="46"/>
        <v>NOT</v>
      </c>
      <c r="V240" s="79" t="str">
        <f t="shared" si="47"/>
        <v/>
      </c>
    </row>
    <row r="241" spans="1:22" x14ac:dyDescent="0.2">
      <c r="B241" s="259"/>
      <c r="C241" s="88"/>
      <c r="D241" s="260"/>
      <c r="E241" s="243"/>
      <c r="F241" s="261"/>
      <c r="G241" s="243"/>
      <c r="H241" s="262"/>
      <c r="I241" s="243"/>
      <c r="J241" s="262"/>
      <c r="K241" s="88"/>
      <c r="L241" s="143">
        <f t="shared" si="43"/>
        <v>0</v>
      </c>
      <c r="N241" s="81"/>
      <c r="R241" s="79" t="str">
        <f t="shared" si="44"/>
        <v>NOT</v>
      </c>
      <c r="S241" s="79" t="str">
        <f t="shared" si="45"/>
        <v>NOT</v>
      </c>
      <c r="T241" s="79" t="str">
        <f t="shared" si="46"/>
        <v>NOT</v>
      </c>
      <c r="V241" s="79" t="str">
        <f t="shared" si="47"/>
        <v/>
      </c>
    </row>
    <row r="242" spans="1:22" x14ac:dyDescent="0.2">
      <c r="B242" s="259"/>
      <c r="C242" s="88"/>
      <c r="D242" s="260"/>
      <c r="E242" s="243"/>
      <c r="F242" s="261"/>
      <c r="G242" s="243"/>
      <c r="H242" s="262"/>
      <c r="I242" s="243"/>
      <c r="J242" s="262"/>
      <c r="K242" s="88"/>
      <c r="L242" s="143">
        <f t="shared" si="43"/>
        <v>0</v>
      </c>
      <c r="N242" s="81"/>
      <c r="R242" s="79" t="str">
        <f t="shared" si="44"/>
        <v>NOT</v>
      </c>
      <c r="S242" s="79" t="str">
        <f t="shared" si="45"/>
        <v>NOT</v>
      </c>
      <c r="T242" s="79" t="str">
        <f t="shared" si="46"/>
        <v>NOT</v>
      </c>
      <c r="V242" s="79" t="str">
        <f t="shared" si="47"/>
        <v/>
      </c>
    </row>
    <row r="243" spans="1:22" x14ac:dyDescent="0.2">
      <c r="B243" s="259"/>
      <c r="C243" s="88"/>
      <c r="D243" s="260"/>
      <c r="E243" s="243"/>
      <c r="F243" s="261"/>
      <c r="G243" s="243"/>
      <c r="H243" s="262"/>
      <c r="I243" s="243"/>
      <c r="J243" s="262"/>
      <c r="K243" s="88"/>
      <c r="L243" s="143">
        <f t="shared" si="43"/>
        <v>0</v>
      </c>
      <c r="N243" s="81"/>
      <c r="R243" s="79" t="str">
        <f t="shared" si="44"/>
        <v>NOT</v>
      </c>
      <c r="S243" s="79" t="str">
        <f t="shared" si="45"/>
        <v>NOT</v>
      </c>
      <c r="T243" s="79" t="str">
        <f t="shared" si="46"/>
        <v>NOT</v>
      </c>
      <c r="V243" s="79" t="str">
        <f t="shared" si="47"/>
        <v/>
      </c>
    </row>
    <row r="244" spans="1:22" x14ac:dyDescent="0.2">
      <c r="B244" s="259"/>
      <c r="C244" s="88"/>
      <c r="D244" s="260"/>
      <c r="E244" s="243"/>
      <c r="F244" s="261"/>
      <c r="G244" s="243"/>
      <c r="H244" s="262"/>
      <c r="I244" s="243"/>
      <c r="J244" s="262"/>
      <c r="K244" s="88"/>
      <c r="L244" s="143">
        <f t="shared" si="43"/>
        <v>0</v>
      </c>
      <c r="N244" s="81"/>
      <c r="R244" s="79" t="str">
        <f t="shared" si="44"/>
        <v>NOT</v>
      </c>
      <c r="S244" s="79" t="str">
        <f t="shared" si="45"/>
        <v>NOT</v>
      </c>
      <c r="T244" s="79" t="str">
        <f t="shared" si="46"/>
        <v>NOT</v>
      </c>
      <c r="V244" s="79" t="str">
        <f t="shared" si="47"/>
        <v/>
      </c>
    </row>
    <row r="245" spans="1:22" x14ac:dyDescent="0.2">
      <c r="B245" s="259"/>
      <c r="C245" s="88"/>
      <c r="D245" s="260"/>
      <c r="E245" s="243"/>
      <c r="F245" s="261"/>
      <c r="G245" s="243"/>
      <c r="H245" s="262"/>
      <c r="I245" s="243"/>
      <c r="J245" s="262"/>
      <c r="K245" s="88"/>
      <c r="L245" s="143">
        <f t="shared" si="43"/>
        <v>0</v>
      </c>
      <c r="N245" s="81"/>
      <c r="R245" s="79" t="str">
        <f t="shared" si="44"/>
        <v>NOT</v>
      </c>
      <c r="S245" s="79" t="str">
        <f t="shared" si="45"/>
        <v>NOT</v>
      </c>
      <c r="T245" s="79" t="str">
        <f t="shared" si="46"/>
        <v>NOT</v>
      </c>
      <c r="V245" s="79" t="str">
        <f t="shared" si="47"/>
        <v/>
      </c>
    </row>
    <row r="246" spans="1:22" x14ac:dyDescent="0.2">
      <c r="B246" s="259"/>
      <c r="C246" s="88"/>
      <c r="D246" s="260"/>
      <c r="E246" s="243"/>
      <c r="F246" s="261"/>
      <c r="G246" s="243"/>
      <c r="H246" s="262"/>
      <c r="I246" s="243"/>
      <c r="J246" s="262"/>
      <c r="K246" s="88"/>
      <c r="L246" s="143">
        <f t="shared" si="43"/>
        <v>0</v>
      </c>
      <c r="N246" s="81"/>
      <c r="R246" s="79" t="str">
        <f t="shared" si="44"/>
        <v>NOT</v>
      </c>
      <c r="S246" s="79" t="str">
        <f t="shared" si="45"/>
        <v>NOT</v>
      </c>
      <c r="T246" s="79" t="str">
        <f t="shared" si="46"/>
        <v>NOT</v>
      </c>
      <c r="V246" s="79" t="str">
        <f t="shared" si="47"/>
        <v/>
      </c>
    </row>
    <row r="247" spans="1:22" x14ac:dyDescent="0.2">
      <c r="B247" s="104"/>
      <c r="C247" s="88"/>
      <c r="D247" s="81"/>
      <c r="F247" s="81"/>
      <c r="H247" s="81"/>
      <c r="J247" s="81"/>
      <c r="K247" s="88"/>
      <c r="L247" s="81"/>
      <c r="N247" s="227"/>
    </row>
    <row r="248" spans="1:22" ht="13.5" customHeight="1" x14ac:dyDescent="0.2">
      <c r="A248" s="276"/>
      <c r="B248" s="278" t="s">
        <v>304</v>
      </c>
      <c r="C248" s="277"/>
      <c r="D248" s="747" t="s">
        <v>166</v>
      </c>
      <c r="E248" s="748"/>
      <c r="F248" s="748"/>
      <c r="G248" s="748"/>
      <c r="H248" s="748"/>
      <c r="I248" s="279"/>
      <c r="J248" s="280" t="s">
        <v>18</v>
      </c>
      <c r="K248" s="88"/>
      <c r="L248" s="156">
        <f>SUM(L255:L258)</f>
        <v>0</v>
      </c>
      <c r="M248" s="246"/>
      <c r="N248" s="147">
        <f>IF(L248=0,0%,L248/L$8)</f>
        <v>0</v>
      </c>
      <c r="O248" s="495">
        <f>IF(LEN(R248)&gt;3,1,0)</f>
        <v>0</v>
      </c>
      <c r="P248" s="270">
        <v>0.1</v>
      </c>
      <c r="Q248" s="231" t="str">
        <f>IF('9. Project budget summary'!X39=1,B249,"")</f>
        <v/>
      </c>
      <c r="R248" s="79" t="str">
        <f>IF(AND(R254="NOT",S254="NOT",T254="NOT"),"NOT",D248)</f>
        <v>NOT</v>
      </c>
    </row>
    <row r="249" spans="1:22" s="76" customFormat="1" ht="24.75" customHeight="1" x14ac:dyDescent="0.2">
      <c r="A249" s="87"/>
      <c r="B249" s="752" t="s">
        <v>643</v>
      </c>
      <c r="C249" s="753"/>
      <c r="D249" s="753"/>
      <c r="E249" s="753"/>
      <c r="F249" s="753"/>
      <c r="G249" s="753"/>
      <c r="H249" s="753"/>
      <c r="I249" s="753"/>
      <c r="J249" s="753"/>
      <c r="K249" s="88"/>
      <c r="L249" s="70"/>
      <c r="M249" s="70"/>
      <c r="N249" s="70"/>
      <c r="O249" s="495">
        <f>IF(LEN(Q248)&gt;3,1,0)</f>
        <v>0</v>
      </c>
      <c r="Q249" s="272"/>
      <c r="V249" s="79"/>
    </row>
    <row r="250" spans="1:22" x14ac:dyDescent="0.2">
      <c r="B250" s="742" t="s">
        <v>197</v>
      </c>
      <c r="C250" s="743"/>
      <c r="D250" s="743"/>
      <c r="E250" s="743"/>
      <c r="F250" s="743"/>
      <c r="H250" s="81"/>
      <c r="J250" s="81"/>
      <c r="K250" s="88"/>
      <c r="L250" s="81"/>
      <c r="N250" s="227"/>
      <c r="R250" s="79" t="str">
        <f>IF(AND(($L248&gt;0),ISBLANK(B252)),B250,"NOT")</f>
        <v>NOT</v>
      </c>
    </row>
    <row r="251" spans="1:22" ht="3" customHeight="1" x14ac:dyDescent="0.2">
      <c r="B251" s="104"/>
      <c r="C251" s="88"/>
      <c r="D251" s="81"/>
      <c r="F251" s="81"/>
      <c r="H251" s="81"/>
      <c r="J251" s="81"/>
      <c r="K251" s="88"/>
      <c r="L251" s="81"/>
      <c r="N251" s="227"/>
    </row>
    <row r="252" spans="1:22" ht="48" customHeight="1" x14ac:dyDescent="0.2">
      <c r="B252" s="744"/>
      <c r="C252" s="745"/>
      <c r="D252" s="745"/>
      <c r="E252" s="745"/>
      <c r="F252" s="745"/>
      <c r="G252" s="745"/>
      <c r="H252" s="745"/>
      <c r="I252" s="745"/>
      <c r="J252" s="745"/>
      <c r="K252" s="745"/>
      <c r="L252" s="746"/>
      <c r="M252" s="70" t="s">
        <v>19</v>
      </c>
      <c r="N252" s="227"/>
    </row>
    <row r="253" spans="1:22" ht="3.75" customHeight="1" x14ac:dyDescent="0.2">
      <c r="B253" s="104"/>
      <c r="C253" s="88"/>
      <c r="D253" s="81"/>
      <c r="F253" s="81"/>
      <c r="H253" s="81"/>
      <c r="J253" s="81"/>
      <c r="K253" s="88"/>
      <c r="L253" s="81"/>
      <c r="N253" s="227"/>
    </row>
    <row r="254" spans="1:22" ht="12.75" customHeight="1" x14ac:dyDescent="0.2">
      <c r="B254" s="244" t="s">
        <v>17</v>
      </c>
      <c r="C254" s="88"/>
      <c r="D254" s="244" t="s">
        <v>580</v>
      </c>
      <c r="F254" s="244" t="s">
        <v>205</v>
      </c>
      <c r="H254" s="244" t="s">
        <v>16</v>
      </c>
      <c r="J254" s="244" t="s">
        <v>15</v>
      </c>
      <c r="K254" s="245"/>
      <c r="L254" s="103" t="s">
        <v>141</v>
      </c>
      <c r="N254" s="81"/>
      <c r="R254" s="255" t="str">
        <f>IF(AND(R255="NOT",R256="NOT",R257="NOT",R258="NOT",R250="NOT"),"NOT",D248)</f>
        <v>NOT</v>
      </c>
      <c r="S254" s="255" t="str">
        <f>IF(AND(S255="NOT",S256="NOT",S257="NOT",S258="NOT",R250="NOT"),"NOT",D248)</f>
        <v>NOT</v>
      </c>
      <c r="T254" s="255" t="str">
        <f>IF(AND(T255="NOT",T256="NOT",T257="NOT",T258="NOT",R250="NOT"),"NOT",D248)</f>
        <v>NOT</v>
      </c>
    </row>
    <row r="255" spans="1:22" x14ac:dyDescent="0.2">
      <c r="B255" s="259"/>
      <c r="C255" s="88"/>
      <c r="D255" s="260"/>
      <c r="E255" s="243"/>
      <c r="F255" s="261"/>
      <c r="G255" s="243"/>
      <c r="H255" s="262"/>
      <c r="I255" s="243"/>
      <c r="J255" s="262"/>
      <c r="K255" s="88"/>
      <c r="L255" s="143">
        <f>TRUNC(H255*J255,2)</f>
        <v>0</v>
      </c>
      <c r="N255" s="81"/>
      <c r="R255" s="79" t="str">
        <f>IF(AND(($L255&gt;0),ISBLANK(B255)),B255,"NOT")</f>
        <v>NOT</v>
      </c>
      <c r="S255" s="79" t="str">
        <f>IF(AND(($L255&gt;0),ISBLANK(D255)),D255,"NOT")</f>
        <v>NOT</v>
      </c>
      <c r="T255" s="79" t="str">
        <f>IF(AND(($L255&gt;0),ISBLANK(F255)),F255,"NOT")</f>
        <v>NOT</v>
      </c>
      <c r="V255" s="79" t="str">
        <f>LEFT(D255,3)</f>
        <v/>
      </c>
    </row>
    <row r="256" spans="1:22" x14ac:dyDescent="0.2">
      <c r="B256" s="259"/>
      <c r="C256" s="88"/>
      <c r="D256" s="260"/>
      <c r="E256" s="243"/>
      <c r="F256" s="261"/>
      <c r="G256" s="243"/>
      <c r="H256" s="262"/>
      <c r="I256" s="243"/>
      <c r="J256" s="262"/>
      <c r="K256" s="88"/>
      <c r="L256" s="143">
        <f>TRUNC(H256*J256,2)</f>
        <v>0</v>
      </c>
      <c r="N256" s="81"/>
      <c r="R256" s="79" t="str">
        <f>IF(AND(($L256&gt;0),ISBLANK(B256)),B256,"NOT")</f>
        <v>NOT</v>
      </c>
      <c r="S256" s="79" t="str">
        <f>IF(AND(($L256&gt;0),ISBLANK(D256)),D256,"NOT")</f>
        <v>NOT</v>
      </c>
      <c r="T256" s="79" t="str">
        <f>IF(AND(($L256&gt;0),ISBLANK(F256)),F256,"NOT")</f>
        <v>NOT</v>
      </c>
      <c r="V256" s="79" t="str">
        <f>LEFT(D256,3)</f>
        <v/>
      </c>
    </row>
    <row r="257" spans="1:22" x14ac:dyDescent="0.2">
      <c r="B257" s="259"/>
      <c r="C257" s="88"/>
      <c r="D257" s="260"/>
      <c r="E257" s="243"/>
      <c r="F257" s="261"/>
      <c r="G257" s="243"/>
      <c r="H257" s="262"/>
      <c r="I257" s="243"/>
      <c r="J257" s="262"/>
      <c r="K257" s="88"/>
      <c r="L257" s="143">
        <f>TRUNC(H257*J257,2)</f>
        <v>0</v>
      </c>
      <c r="N257" s="81"/>
      <c r="R257" s="79" t="str">
        <f>IF(AND(($L257&gt;0),ISBLANK(B257)),B257,"NOT")</f>
        <v>NOT</v>
      </c>
      <c r="S257" s="79" t="str">
        <f>IF(AND(($L257&gt;0),ISBLANK(D257)),D257,"NOT")</f>
        <v>NOT</v>
      </c>
      <c r="T257" s="79" t="str">
        <f>IF(AND(($L257&gt;0),ISBLANK(F257)),F257,"NOT")</f>
        <v>NOT</v>
      </c>
      <c r="V257" s="79" t="str">
        <f>LEFT(D257,3)</f>
        <v/>
      </c>
    </row>
    <row r="258" spans="1:22" x14ac:dyDescent="0.2">
      <c r="B258" s="259"/>
      <c r="C258" s="88"/>
      <c r="D258" s="260"/>
      <c r="E258" s="243"/>
      <c r="F258" s="261"/>
      <c r="G258" s="243"/>
      <c r="H258" s="262"/>
      <c r="I258" s="243"/>
      <c r="J258" s="262"/>
      <c r="K258" s="88"/>
      <c r="L258" s="143">
        <f>TRUNC(H258*J258,2)</f>
        <v>0</v>
      </c>
      <c r="N258" s="81"/>
      <c r="R258" s="79" t="str">
        <f>IF(AND(($L258&gt;0),ISBLANK(B258)),B258,"NOT")</f>
        <v>NOT</v>
      </c>
      <c r="S258" s="79" t="str">
        <f>IF(AND(($L258&gt;0),ISBLANK(D258)),D258,"NOT")</f>
        <v>NOT</v>
      </c>
      <c r="T258" s="79" t="str">
        <f>IF(AND(($L258&gt;0),ISBLANK(F258)),F258,"NOT")</f>
        <v>NOT</v>
      </c>
      <c r="V258" s="79" t="str">
        <f>LEFT(D258,3)</f>
        <v/>
      </c>
    </row>
    <row r="259" spans="1:22" s="76" customFormat="1" ht="12.75" customHeight="1" x14ac:dyDescent="0.2">
      <c r="A259" s="87"/>
      <c r="B259" s="88"/>
      <c r="C259" s="88"/>
      <c r="D259" s="70"/>
      <c r="E259" s="70"/>
      <c r="F259" s="70"/>
      <c r="G259" s="70"/>
      <c r="H259" s="70"/>
      <c r="I259" s="70"/>
      <c r="J259" s="70"/>
      <c r="K259" s="88"/>
      <c r="L259" s="70"/>
      <c r="M259" s="70"/>
      <c r="N259" s="70"/>
      <c r="O259" s="89"/>
      <c r="V259" s="79"/>
    </row>
    <row r="260" spans="1:22" ht="18" customHeight="1" x14ac:dyDescent="0.2">
      <c r="A260" s="263"/>
      <c r="B260" s="264"/>
      <c r="C260" s="265"/>
      <c r="D260" s="266"/>
      <c r="E260" s="267"/>
      <c r="F260" s="266"/>
      <c r="G260" s="267"/>
      <c r="H260" s="266"/>
      <c r="I260" s="267"/>
      <c r="J260" s="266"/>
      <c r="K260" s="265"/>
      <c r="L260" s="266"/>
      <c r="M260" s="267"/>
      <c r="N260" s="268"/>
    </row>
    <row r="261" spans="1:22" hidden="1" x14ac:dyDescent="0.2"/>
    <row r="262" spans="1:22" ht="25.5" hidden="1" x14ac:dyDescent="0.2">
      <c r="C262" s="44" t="str">
        <f>LEFT(D262,3)</f>
        <v xml:space="preserve">1. </v>
      </c>
      <c r="D262" s="465" t="str">
        <f>CONCATENATE('6. Project Activities'!A10," ",'6. Project Activities'!B10)</f>
        <v>1. Project administration and management</v>
      </c>
      <c r="L262" s="44">
        <f t="shared" ref="L262:L285" si="48">SUMIF($V$11:$V$259,C262,$L$11:$L$259)</f>
        <v>0</v>
      </c>
    </row>
    <row r="263" spans="1:22" hidden="1" x14ac:dyDescent="0.2">
      <c r="C263" s="44" t="str">
        <f t="shared" ref="C263:C285" si="49">LEFT(D263,3)</f>
        <v xml:space="preserve">2. </v>
      </c>
      <c r="D263" s="465" t="str">
        <f>CONCATENATE('6. Project Activities'!A11," ",'6. Project Activities'!B11)</f>
        <v>2. Information and publicity</v>
      </c>
      <c r="L263" s="44">
        <f t="shared" si="48"/>
        <v>0</v>
      </c>
    </row>
    <row r="264" spans="1:22" ht="38.25" hidden="1" x14ac:dyDescent="0.2">
      <c r="C264" s="44" t="str">
        <f t="shared" si="49"/>
        <v xml:space="preserve">3. </v>
      </c>
      <c r="D264" s="465" t="str">
        <f>CONCATENATE('6. Project Activities'!A12," ",'6. Project Activities'!B12)</f>
        <v>3. Activity 3.1: Organisation of project conferences and regular press conferences</v>
      </c>
      <c r="L264" s="44">
        <f t="shared" si="48"/>
        <v>0</v>
      </c>
    </row>
    <row r="265" spans="1:22" ht="38.25" hidden="1" x14ac:dyDescent="0.2">
      <c r="C265" s="44" t="str">
        <f t="shared" si="49"/>
        <v xml:space="preserve">4. </v>
      </c>
      <c r="D265" s="465" t="str">
        <f>CONCATENATE('6. Project Activities'!A13," ",'6. Project Activities'!B13)</f>
        <v>4. Activity 3.2: Creation and regular updating of project website, project presence in Social media</v>
      </c>
      <c r="L265" s="44">
        <f t="shared" si="48"/>
        <v>0</v>
      </c>
    </row>
    <row r="266" spans="1:22" ht="25.5" hidden="1" x14ac:dyDescent="0.2">
      <c r="C266" s="44" t="str">
        <f t="shared" si="49"/>
        <v xml:space="preserve">5. </v>
      </c>
      <c r="D266" s="465" t="str">
        <f>CONCATENATE('6. Project Activities'!A14," ",'6. Project Activities'!B14)</f>
        <v>5. Activity 3.3: Development of multilingual mobile App</v>
      </c>
      <c r="L266" s="44">
        <f t="shared" si="48"/>
        <v>0</v>
      </c>
    </row>
    <row r="267" spans="1:22" ht="38.25" hidden="1" x14ac:dyDescent="0.2">
      <c r="C267" s="44" t="str">
        <f t="shared" si="49"/>
        <v xml:space="preserve">6. </v>
      </c>
      <c r="D267" s="465" t="str">
        <f>CONCATENATE('6. Project Activities'!A15," ",'6. Project Activities'!B15)</f>
        <v>6. Activity 3.4: Organisation of local and cross-border events for cyclists</v>
      </c>
      <c r="L267" s="44">
        <f t="shared" si="48"/>
        <v>0</v>
      </c>
    </row>
    <row r="268" spans="1:22" ht="38.25" hidden="1" x14ac:dyDescent="0.2">
      <c r="C268" s="44" t="str">
        <f t="shared" si="49"/>
        <v xml:space="preserve">7. </v>
      </c>
      <c r="D268" s="465" t="str">
        <f>CONCATENATE('6. Project Activities'!A16," ",'6. Project Activities'!B16)</f>
        <v>7. Activity 3.5: Organisation of Summer Cycling Camp for primary school kids in Croatia</v>
      </c>
      <c r="L268" s="44">
        <f t="shared" si="48"/>
        <v>0</v>
      </c>
    </row>
    <row r="269" spans="1:22" ht="38.25" hidden="1" x14ac:dyDescent="0.2">
      <c r="C269" s="44" t="str">
        <f t="shared" si="49"/>
        <v xml:space="preserve">8. </v>
      </c>
      <c r="D269" s="465" t="str">
        <f>CONCATENATE('6. Project Activities'!A17," ",'6. Project Activities'!B17)</f>
        <v>8. Activity 3.6: Organisation of “Safety in traffic for cyclists” workshops</v>
      </c>
      <c r="L269" s="44">
        <f t="shared" si="48"/>
        <v>0</v>
      </c>
    </row>
    <row r="270" spans="1:22" ht="38.25" hidden="1" x14ac:dyDescent="0.2">
      <c r="C270" s="44" t="str">
        <f t="shared" si="49"/>
        <v xml:space="preserve">9. </v>
      </c>
      <c r="D270" s="465" t="str">
        <f>CONCATENATE('6. Project Activities'!A18," ",'6. Project Activities'!B18)</f>
        <v>9. Activity 4.1: Development of missing sections of the bicycle routes in Ludbreg area</v>
      </c>
      <c r="L270" s="44">
        <f t="shared" si="48"/>
        <v>0</v>
      </c>
    </row>
    <row r="271" spans="1:22" ht="38.25" hidden="1" x14ac:dyDescent="0.2">
      <c r="C271" s="44" t="str">
        <f t="shared" si="49"/>
        <v>10.</v>
      </c>
      <c r="D271" s="465" t="str">
        <f>CONCATENATE('6. Project Activities'!A19," ",'6. Project Activities'!B19)</f>
        <v>10. Activity 4.2: Adaptation and arrangement of the part of a local road Ludbreg</v>
      </c>
      <c r="L271" s="44">
        <f t="shared" si="48"/>
        <v>0</v>
      </c>
    </row>
    <row r="272" spans="1:22" ht="25.5" hidden="1" x14ac:dyDescent="0.2">
      <c r="C272" s="44" t="str">
        <f t="shared" si="49"/>
        <v>11.</v>
      </c>
      <c r="D272" s="465" t="str">
        <f>CONCATENATE('6. Project Activities'!A20," ",'6. Project Activities'!B20)</f>
        <v>11. Activity 4.3: Establishment of Cyclist Centre in Letenye</v>
      </c>
      <c r="L272" s="44">
        <f t="shared" si="48"/>
        <v>0</v>
      </c>
    </row>
    <row r="273" spans="3:12" ht="51" hidden="1" x14ac:dyDescent="0.2">
      <c r="C273" s="44" t="str">
        <f t="shared" si="49"/>
        <v>12.</v>
      </c>
      <c r="D273" s="465" t="str">
        <f>CONCATENATE('6. Project Activities'!A21," ",'6. Project Activities'!B21)</f>
        <v>12. Activity 4.4: Preparation of technical documentation for obtaining a building permit for bike paths" - Draškovec Oporovec</v>
      </c>
      <c r="L273" s="44">
        <f t="shared" si="48"/>
        <v>0</v>
      </c>
    </row>
    <row r="274" spans="3:12" ht="38.25" hidden="1" x14ac:dyDescent="0.2">
      <c r="C274" s="44" t="str">
        <f t="shared" si="49"/>
        <v>13.</v>
      </c>
      <c r="D274" s="465" t="str">
        <f>CONCATENATE('6. Project Activities'!A22," ",'6. Project Activities'!B22)</f>
        <v>13. Activity 4.5: Adaptation/reconstruction of the restplace for cyclist in Oporovec</v>
      </c>
      <c r="L274" s="44">
        <f t="shared" si="48"/>
        <v>0</v>
      </c>
    </row>
    <row r="275" spans="3:12" ht="51" hidden="1" x14ac:dyDescent="0.2">
      <c r="C275" s="44" t="str">
        <f t="shared" si="49"/>
        <v>14.</v>
      </c>
      <c r="D275" s="465" t="str">
        <f>CONCATENATE('6. Project Activities'!A23," ",'6. Project Activities'!B23)</f>
        <v>14. Activity 4.6: Establishment of restplaces, info points and installation of information boards alongside the bicycle routes</v>
      </c>
      <c r="L275" s="44">
        <f t="shared" si="48"/>
        <v>0</v>
      </c>
    </row>
    <row r="276" spans="3:12" hidden="1" x14ac:dyDescent="0.2">
      <c r="C276" s="44" t="str">
        <f t="shared" si="49"/>
        <v>15.</v>
      </c>
      <c r="D276" s="465" t="str">
        <f>CONCATENATE('6. Project Activities'!A24," ",'6. Project Activities'!B24)</f>
        <v xml:space="preserve">15. </v>
      </c>
      <c r="L276" s="44">
        <f t="shared" si="48"/>
        <v>0</v>
      </c>
    </row>
    <row r="277" spans="3:12" hidden="1" x14ac:dyDescent="0.2">
      <c r="C277" s="44" t="str">
        <f t="shared" si="49"/>
        <v>16.</v>
      </c>
      <c r="D277" s="465" t="str">
        <f>CONCATENATE('6. Project Activities'!A25," ",'6. Project Activities'!B25)</f>
        <v xml:space="preserve">16. </v>
      </c>
      <c r="L277" s="44">
        <f t="shared" si="48"/>
        <v>0</v>
      </c>
    </row>
    <row r="278" spans="3:12" hidden="1" x14ac:dyDescent="0.2">
      <c r="C278" s="44" t="str">
        <f t="shared" si="49"/>
        <v>17.</v>
      </c>
      <c r="D278" s="465" t="str">
        <f>CONCATENATE('6. Project Activities'!A26," ",'6. Project Activities'!B26)</f>
        <v xml:space="preserve">17. </v>
      </c>
      <c r="L278" s="44">
        <f t="shared" si="48"/>
        <v>0</v>
      </c>
    </row>
    <row r="279" spans="3:12" hidden="1" x14ac:dyDescent="0.2">
      <c r="C279" s="44" t="str">
        <f t="shared" si="49"/>
        <v>18.</v>
      </c>
      <c r="D279" s="465" t="str">
        <f>CONCATENATE('6. Project Activities'!A27," ",'6. Project Activities'!B27)</f>
        <v xml:space="preserve">18. </v>
      </c>
      <c r="L279" s="44">
        <f t="shared" si="48"/>
        <v>0</v>
      </c>
    </row>
    <row r="280" spans="3:12" hidden="1" x14ac:dyDescent="0.2">
      <c r="C280" s="44" t="str">
        <f t="shared" si="49"/>
        <v>19.</v>
      </c>
      <c r="D280" s="465" t="str">
        <f>CONCATENATE('6. Project Activities'!A28," ",'6. Project Activities'!B28)</f>
        <v xml:space="preserve">19. </v>
      </c>
      <c r="L280" s="44">
        <f t="shared" si="48"/>
        <v>0</v>
      </c>
    </row>
    <row r="281" spans="3:12" hidden="1" x14ac:dyDescent="0.2">
      <c r="C281" s="44" t="str">
        <f t="shared" si="49"/>
        <v>20.</v>
      </c>
      <c r="D281" s="465" t="str">
        <f>CONCATENATE('6. Project Activities'!A29," ",'6. Project Activities'!B29)</f>
        <v xml:space="preserve">20. </v>
      </c>
      <c r="L281" s="44">
        <f t="shared" si="48"/>
        <v>0</v>
      </c>
    </row>
    <row r="282" spans="3:12" hidden="1" x14ac:dyDescent="0.2">
      <c r="C282" s="44" t="str">
        <f t="shared" si="49"/>
        <v>21.</v>
      </c>
      <c r="D282" s="465" t="str">
        <f>CONCATENATE('6. Project Activities'!A30," ",'6. Project Activities'!B30)</f>
        <v xml:space="preserve">21. </v>
      </c>
      <c r="L282" s="44">
        <f t="shared" si="48"/>
        <v>0</v>
      </c>
    </row>
    <row r="283" spans="3:12" hidden="1" x14ac:dyDescent="0.2">
      <c r="C283" s="44" t="str">
        <f t="shared" si="49"/>
        <v>22.</v>
      </c>
      <c r="D283" s="465" t="str">
        <f>CONCATENATE('6. Project Activities'!A31," ",'6. Project Activities'!B31)</f>
        <v xml:space="preserve">22. </v>
      </c>
      <c r="L283" s="44">
        <f t="shared" si="48"/>
        <v>0</v>
      </c>
    </row>
    <row r="284" spans="3:12" hidden="1" x14ac:dyDescent="0.2">
      <c r="C284" s="44" t="str">
        <f t="shared" si="49"/>
        <v>23.</v>
      </c>
      <c r="D284" s="465" t="str">
        <f>CONCATENATE('6. Project Activities'!A32," ",'6. Project Activities'!B32)</f>
        <v xml:space="preserve">23. </v>
      </c>
      <c r="L284" s="44">
        <f t="shared" si="48"/>
        <v>0</v>
      </c>
    </row>
    <row r="285" spans="3:12" hidden="1" x14ac:dyDescent="0.2">
      <c r="C285" s="44" t="str">
        <f t="shared" si="49"/>
        <v>24.</v>
      </c>
      <c r="D285" s="465" t="str">
        <f>CONCATENATE('6. Project Activities'!A33," ",'6. Project Activities'!B33)</f>
        <v xml:space="preserve">24. </v>
      </c>
      <c r="L285" s="44">
        <f t="shared" si="48"/>
        <v>0</v>
      </c>
    </row>
    <row r="286" spans="3:12" x14ac:dyDescent="0.2">
      <c r="C286" s="44"/>
    </row>
    <row r="287" spans="3:12" x14ac:dyDescent="0.2">
      <c r="C287" s="44"/>
    </row>
    <row r="288" spans="3:12" x14ac:dyDescent="0.2">
      <c r="C288" s="44"/>
    </row>
    <row r="289" spans="3:3" x14ac:dyDescent="0.2">
      <c r="C289" s="44"/>
    </row>
    <row r="290" spans="3:3" x14ac:dyDescent="0.2">
      <c r="C290" s="44"/>
    </row>
    <row r="291" spans="3:3" x14ac:dyDescent="0.2">
      <c r="C291" s="44"/>
    </row>
  </sheetData>
  <sheetProtection password="F58B" sheet="1" objects="1" scenarios="1" selectLockedCells="1"/>
  <mergeCells count="60">
    <mergeCell ref="B17:L17"/>
    <mergeCell ref="D62:H62"/>
    <mergeCell ref="B48:L48"/>
    <mergeCell ref="B18:F18"/>
    <mergeCell ref="B20:L20"/>
    <mergeCell ref="D40:H40"/>
    <mergeCell ref="D42:H42"/>
    <mergeCell ref="D44:H44"/>
    <mergeCell ref="B46:F46"/>
    <mergeCell ref="A1:B1"/>
    <mergeCell ref="D1:N1"/>
    <mergeCell ref="D14:H14"/>
    <mergeCell ref="B15:L15"/>
    <mergeCell ref="D16:H16"/>
    <mergeCell ref="D3:N3"/>
    <mergeCell ref="D5:N5"/>
    <mergeCell ref="D8:H8"/>
    <mergeCell ref="D10:H10"/>
    <mergeCell ref="D12:H12"/>
    <mergeCell ref="D99:H99"/>
    <mergeCell ref="D80:H80"/>
    <mergeCell ref="B82:F82"/>
    <mergeCell ref="B84:L84"/>
    <mergeCell ref="B64:F64"/>
    <mergeCell ref="B66:L66"/>
    <mergeCell ref="D101:H101"/>
    <mergeCell ref="B103:F103"/>
    <mergeCell ref="B105:L105"/>
    <mergeCell ref="D112:H112"/>
    <mergeCell ref="B114:F114"/>
    <mergeCell ref="B116:L116"/>
    <mergeCell ref="D130:H130"/>
    <mergeCell ref="B132:F132"/>
    <mergeCell ref="B134:L134"/>
    <mergeCell ref="D148:H148"/>
    <mergeCell ref="B149:L149"/>
    <mergeCell ref="B150:F150"/>
    <mergeCell ref="B152:L152"/>
    <mergeCell ref="D162:H162"/>
    <mergeCell ref="B164:F164"/>
    <mergeCell ref="B166:L166"/>
    <mergeCell ref="D174:H174"/>
    <mergeCell ref="B176:F176"/>
    <mergeCell ref="B232:F232"/>
    <mergeCell ref="B178:L178"/>
    <mergeCell ref="D192:H192"/>
    <mergeCell ref="B194:F194"/>
    <mergeCell ref="B196:L196"/>
    <mergeCell ref="D206:H206"/>
    <mergeCell ref="D208:H208"/>
    <mergeCell ref="B210:F210"/>
    <mergeCell ref="B212:L212"/>
    <mergeCell ref="D226:H226"/>
    <mergeCell ref="F228:H228"/>
    <mergeCell ref="D230:H230"/>
    <mergeCell ref="B234:L234"/>
    <mergeCell ref="D248:H248"/>
    <mergeCell ref="B249:J249"/>
    <mergeCell ref="B250:F250"/>
    <mergeCell ref="B252:L252"/>
  </mergeCells>
  <phoneticPr fontId="3" type="noConversion"/>
  <conditionalFormatting sqref="D16:H16 B18:F18 D62:H62 D44:H44 B64:F64 B46:F46 D80:H80 B82:F82 D112:H112 D101:H101 B114:F114 B103:F103 D130:H130 B132:F132 D148:H148 B150:F150 D162:H162 B164:F164 D174:H174 D192:H192 D208:H208 B210:F210 D248:H248 D230:H230 B250:F250 B232:F232">
    <cfRule type="cellIs" dxfId="154" priority="11" stopIfTrue="1" operator="equal">
      <formula>$R16</formula>
    </cfRule>
  </conditionalFormatting>
  <conditionalFormatting sqref="D12:H12 D99:H99 D228:E228">
    <cfRule type="cellIs" dxfId="153" priority="12" stopIfTrue="1" operator="equal">
      <formula>$Q12</formula>
    </cfRule>
  </conditionalFormatting>
  <conditionalFormatting sqref="B149:L149">
    <cfRule type="cellIs" dxfId="152" priority="15" stopIfTrue="1" operator="equal">
      <formula>$Q$149</formula>
    </cfRule>
  </conditionalFormatting>
  <conditionalFormatting sqref="B17:L17">
    <cfRule type="cellIs" dxfId="151" priority="16" stopIfTrue="1" operator="equal">
      <formula>$Q$17</formula>
    </cfRule>
  </conditionalFormatting>
  <conditionalFormatting sqref="N16">
    <cfRule type="cellIs" dxfId="150" priority="17" stopIfTrue="1" operator="greaterThan">
      <formula>$O$17</formula>
    </cfRule>
  </conditionalFormatting>
  <conditionalFormatting sqref="N148">
    <cfRule type="cellIs" dxfId="149" priority="18" stopIfTrue="1" operator="greaterThan">
      <formula>$O$149</formula>
    </cfRule>
  </conditionalFormatting>
  <conditionalFormatting sqref="N248">
    <cfRule type="cellIs" dxfId="148" priority="19" stopIfTrue="1" operator="greaterThan">
      <formula>$P$248</formula>
    </cfRule>
  </conditionalFormatting>
  <conditionalFormatting sqref="F228:H228">
    <cfRule type="cellIs" dxfId="147" priority="21" stopIfTrue="1" operator="equal">
      <formula>$R$228</formula>
    </cfRule>
  </conditionalFormatting>
  <conditionalFormatting sqref="D206:H206">
    <cfRule type="cellIs" dxfId="146" priority="22" stopIfTrue="1" operator="equal">
      <formula>$Q$206</formula>
    </cfRule>
  </conditionalFormatting>
  <conditionalFormatting sqref="D14:H14">
    <cfRule type="cellIs" dxfId="145" priority="10" stopIfTrue="1" operator="equal">
      <formula>$Q14</formula>
    </cfRule>
  </conditionalFormatting>
  <conditionalFormatting sqref="D42:H42">
    <cfRule type="cellIs" dxfId="144" priority="6" stopIfTrue="1" operator="equal">
      <formula>$Q42</formula>
    </cfRule>
  </conditionalFormatting>
  <conditionalFormatting sqref="B249:J249">
    <cfRule type="cellIs" dxfId="143" priority="4" stopIfTrue="1" operator="equal">
      <formula>$Q$248</formula>
    </cfRule>
  </conditionalFormatting>
  <conditionalFormatting sqref="B194:F194">
    <cfRule type="cellIs" dxfId="142" priority="3" stopIfTrue="1" operator="equal">
      <formula>$R194</formula>
    </cfRule>
  </conditionalFormatting>
  <conditionalFormatting sqref="B176:F176">
    <cfRule type="cellIs" dxfId="141" priority="2" stopIfTrue="1" operator="equal">
      <formula>$R176</formula>
    </cfRule>
  </conditionalFormatting>
  <conditionalFormatting sqref="D8:H8">
    <cfRule type="cellIs" dxfId="140" priority="1" stopIfTrue="1" operator="equal">
      <formula>O$8</formula>
    </cfRule>
  </conditionalFormatting>
  <dataValidations count="5">
    <dataValidation type="list" allowBlank="1" showInputMessage="1" showErrorMessage="1" sqref="D14:H14">
      <formula1>$V$14:$V$16</formula1>
    </dataValidation>
    <dataValidation type="decimal" operator="greaterThanOrEqual" allowBlank="1" showInputMessage="1" showErrorMessage="1" sqref="H237:H246 H199:H203 J169:J172 H169:H172 J155:J160 H137:H146 H108:H110 J108:J110 H87:H96 J87:J96 H69:H78 J69:J78 H51:H60 J51:J60 J23:J37 H23:H37 J137:J146 H119:H128 H155:H160 J119:J128 H181:H190 J181:J190 H215:H224 J215:J224 J199:J203 J237:J246 H255:H258 J255:J258">
      <formula1>0</formula1>
    </dataValidation>
    <dataValidation type="list" allowBlank="1" showInputMessage="1" showErrorMessage="1" sqref="D199:D203 D255:D258 D237:D246 D215:D224 D108:D110 D87:D96 D69:D78 D23:D37 D51:D60 D119:D128 D137:D146 D155:D160 D169:D172 D181:D190">
      <formula1>$D$262:$D$285</formula1>
    </dataValidation>
    <dataValidation type="decimal" allowBlank="1" showInputMessage="1" showErrorMessage="1" sqref="L260 D260 H260 J260 F260 L230 L232:L233 D233 F233 F235 L235 D235 J235 H232:H233 L247:L248 D247 L250:L251 F247 J247 H247 D251 H235 J232:J233 N236:N246 F251 F253 L253 D253 J253 H250:H251 H253 J250:J251 F227 D227 H227 J227 L194:L195 D195 F195 F197 L197 D197 J197 H194:H195 H197 J194:J195 N198:N203 H191 J191 F191 L191:L192 D191 L164:L165 D165 F165 F167 L167 D167 J167 H164:H165 H167 J164:J165 N168:N172 N154:N160 L111:L112 D111 L114:L115 F111 J111 H111 D115 F115 F117 L117 D117 J117 H114:H115 H117 J114:J115 N118:N128 L130 L132:L133 D133 F133 F135 L135 D135 J135 H132:H133 H135 J132:J133 N107:N110 J103:J104 H106 H103:H104 J106 D106 L106 F106 F104 D104 L103:L104 L101 D97:D98 H97:H98 J97:J98 F97:F98 L97:L98 J82:J83 H85 H82:H83 J85 D85 L85 F85 F83 D83 L82:L83 L80 N68:N78 J64:J65 H67 H64:H65 J67 D67 L67 F67 F65 N50:N60 J46:J47 H49 D65 H61 J61 F61 L64:L65 D61 L61:L62 H46:H47 J49 D49 L49 F49 F47 D47 L46:L47 L44 N86:N96 D41 H41 J41 F41 N254:N258 L16 H18:H19 D11 H11 J11 F11 L11 D19 L18:L19 H21 J18:J19 J21 D21 L21 F21 N136:N146 J150:J151 H153 H150:H151 J153 D153 L153 F153 F151 D151 L150:L151 L148 F19 J176:J177 H179 H176:H177 J179 D179 L179 F179 F177 D177 L176:L177 L174 N180:N190 H204:H205 D204:D205 L204:L205 F204:F205 J204:J205 N214:N224 J210:J211 H213 H225 J225 F225 D225 L225:L227 H210:H211 J213 D213 L213 F213 F211 D211 L210:L211 L208 N22:N37 F38:F39 J38:J39 H38:H39 D38:D39 L38:L39 L41 L162 L14">
      <formula1>0</formula1>
      <formula2>99999999.99</formula2>
    </dataValidation>
    <dataValidation type="whole" allowBlank="1" showInputMessage="1" showErrorMessage="1" sqref="L10">
      <formula1>0</formula1>
      <formula2>3000</formula2>
    </dataValidation>
  </dataValidations>
  <pageMargins left="0.6692913385826772" right="0.15748031496062992" top="0.31496062992125984" bottom="0.31496062992125984" header="0.15748031496062992" footer="0.11811023622047245"/>
  <pageSetup scale="82" fitToHeight="12" orientation="landscape"/>
  <headerFooter>
    <oddFooter xml:space="preserve">&amp;C&amp;"Arial,Italic"&amp;A&amp;R&amp;"Arial,Italic"Page &amp;P of &amp;N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1"/>
  <sheetViews>
    <sheetView workbookViewId="0">
      <selection activeCell="L10" sqref="L10"/>
    </sheetView>
  </sheetViews>
  <sheetFormatPr defaultColWidth="9.140625" defaultRowHeight="12.75" x14ac:dyDescent="0.2"/>
  <cols>
    <col min="1" max="1" width="2.85546875" style="80" customWidth="1"/>
    <col min="2" max="2" width="45.7109375" style="44" customWidth="1"/>
    <col min="3" max="3" width="0.42578125" style="70" customWidth="1"/>
    <col min="4" max="4" width="30.7109375" style="44" customWidth="1"/>
    <col min="5" max="5" width="0.42578125" style="70" customWidth="1"/>
    <col min="6" max="6" width="16.42578125" style="44" customWidth="1"/>
    <col min="7" max="7" width="0.42578125" style="70" customWidth="1"/>
    <col min="8" max="8" width="10.7109375" style="44" customWidth="1"/>
    <col min="9" max="9" width="0.42578125" style="70" customWidth="1"/>
    <col min="10" max="10" width="15" style="44" customWidth="1"/>
    <col min="11" max="11" width="0.42578125" style="70" customWidth="1"/>
    <col min="12" max="12" width="13.7109375" style="44" customWidth="1"/>
    <col min="13" max="13" width="0.42578125" style="70" customWidth="1"/>
    <col min="14" max="14" width="9" style="44" customWidth="1"/>
    <col min="15" max="15" width="34.28515625" style="85" hidden="1" customWidth="1"/>
    <col min="16" max="16" width="9.140625" style="79" hidden="1" customWidth="1"/>
    <col min="17" max="17" width="15.42578125" style="79" hidden="1" customWidth="1"/>
    <col min="18" max="22" width="9.140625" style="79" hidden="1" customWidth="1"/>
    <col min="23" max="16384" width="9.140625" style="79"/>
  </cols>
  <sheetData>
    <row r="1" spans="1:29" ht="22.5" customHeight="1" x14ac:dyDescent="0.2">
      <c r="A1" s="738" t="s">
        <v>333</v>
      </c>
      <c r="B1" s="739"/>
      <c r="C1" s="256"/>
      <c r="D1" s="740" t="str">
        <f>CONCATENATE("B7 - ",P5)</f>
        <v xml:space="preserve">B7 - </v>
      </c>
      <c r="E1" s="741"/>
      <c r="F1" s="741"/>
      <c r="G1" s="741"/>
      <c r="H1" s="741"/>
      <c r="I1" s="741"/>
      <c r="J1" s="741"/>
      <c r="K1" s="741"/>
      <c r="L1" s="741"/>
      <c r="M1" s="741"/>
      <c r="N1" s="741"/>
      <c r="R1" s="79" t="s">
        <v>167</v>
      </c>
      <c r="S1" s="79" t="s">
        <v>167</v>
      </c>
      <c r="T1" s="79" t="s">
        <v>167</v>
      </c>
    </row>
    <row r="2" spans="1:29" x14ac:dyDescent="0.2">
      <c r="C2" s="44"/>
      <c r="E2" s="44"/>
      <c r="G2" s="44"/>
      <c r="I2" s="44"/>
      <c r="K2" s="44"/>
      <c r="M2" s="44"/>
      <c r="O2" s="44"/>
      <c r="P2" s="44"/>
      <c r="Q2" s="44"/>
      <c r="R2" s="44"/>
      <c r="S2" s="44"/>
      <c r="T2" s="44"/>
      <c r="U2" s="44"/>
      <c r="V2" s="44"/>
      <c r="W2" s="44"/>
      <c r="X2" s="44"/>
      <c r="Y2" s="44"/>
      <c r="Z2" s="44"/>
      <c r="AA2" s="44"/>
      <c r="AB2" s="44"/>
      <c r="AC2" s="44"/>
    </row>
    <row r="3" spans="1:29" x14ac:dyDescent="0.2">
      <c r="B3" s="101" t="s">
        <v>139</v>
      </c>
      <c r="C3" s="44"/>
      <c r="D3" s="712" t="str">
        <f>T('1. General Data'!C14:M14)</f>
        <v>Happy Bike</v>
      </c>
      <c r="E3" s="713"/>
      <c r="F3" s="713"/>
      <c r="G3" s="713"/>
      <c r="H3" s="713"/>
      <c r="I3" s="713"/>
      <c r="J3" s="713"/>
      <c r="K3" s="713"/>
      <c r="L3" s="713"/>
      <c r="M3" s="713"/>
      <c r="N3" s="714"/>
      <c r="O3" s="44"/>
      <c r="P3" s="44"/>
      <c r="Q3" s="44"/>
      <c r="R3" s="44"/>
      <c r="S3" s="44"/>
      <c r="T3" s="44"/>
      <c r="U3" s="44"/>
      <c r="V3" s="44"/>
      <c r="W3" s="44"/>
      <c r="X3" s="44"/>
      <c r="Y3" s="44"/>
      <c r="Z3" s="44"/>
      <c r="AA3" s="44"/>
      <c r="AB3" s="44"/>
      <c r="AC3" s="44"/>
    </row>
    <row r="4" spans="1:29" ht="6" customHeight="1" x14ac:dyDescent="0.2">
      <c r="C4" s="44"/>
      <c r="E4" s="44"/>
      <c r="G4" s="44"/>
      <c r="I4" s="44"/>
      <c r="K4" s="44"/>
      <c r="M4" s="44"/>
      <c r="O4" s="44"/>
      <c r="P4" s="44"/>
      <c r="Q4" s="44"/>
      <c r="R4" s="44"/>
      <c r="S4" s="44"/>
      <c r="T4" s="44"/>
      <c r="U4" s="44"/>
      <c r="V4" s="44"/>
      <c r="W4" s="44"/>
      <c r="X4" s="44"/>
      <c r="Y4" s="44"/>
      <c r="Z4" s="44"/>
      <c r="AA4" s="44"/>
      <c r="AB4" s="44"/>
      <c r="AC4" s="44"/>
    </row>
    <row r="5" spans="1:29" x14ac:dyDescent="0.2">
      <c r="B5" s="101" t="s">
        <v>138</v>
      </c>
      <c r="C5" s="44"/>
      <c r="D5" s="712" t="str">
        <f>T(LEFT('2. LB data'!C5,80))</f>
        <v>Letenye Város Önkormányzata</v>
      </c>
      <c r="E5" s="713"/>
      <c r="F5" s="713"/>
      <c r="G5" s="713"/>
      <c r="H5" s="713"/>
      <c r="I5" s="713"/>
      <c r="J5" s="713"/>
      <c r="K5" s="713"/>
      <c r="L5" s="713"/>
      <c r="M5" s="713"/>
      <c r="N5" s="714"/>
      <c r="O5" s="44"/>
      <c r="P5" s="236" t="str">
        <f>LEFT('2. B7 data'!C5,80)</f>
        <v/>
      </c>
      <c r="Q5" s="44"/>
      <c r="R5" s="44"/>
      <c r="S5" s="44"/>
      <c r="T5" s="44"/>
      <c r="U5" s="44"/>
      <c r="V5" s="44"/>
      <c r="W5" s="44"/>
      <c r="X5" s="44"/>
      <c r="Y5" s="44"/>
      <c r="Z5" s="44"/>
      <c r="AA5" s="44"/>
      <c r="AB5" s="44"/>
      <c r="AC5" s="44"/>
    </row>
    <row r="6" spans="1:29" x14ac:dyDescent="0.2">
      <c r="B6" s="152"/>
      <c r="D6" s="152"/>
      <c r="F6" s="152"/>
      <c r="H6" s="152"/>
      <c r="J6" s="152"/>
      <c r="L6" s="152"/>
    </row>
    <row r="7" spans="1:29" x14ac:dyDescent="0.2">
      <c r="B7" s="152"/>
      <c r="D7" s="152"/>
      <c r="F7" s="152"/>
      <c r="H7" s="152"/>
      <c r="J7" s="152"/>
      <c r="L7" s="152"/>
    </row>
    <row r="8" spans="1:29" ht="28.5" customHeight="1" x14ac:dyDescent="0.2">
      <c r="A8" s="269" t="s">
        <v>30</v>
      </c>
      <c r="B8" s="289" t="s">
        <v>39</v>
      </c>
      <c r="C8" s="281"/>
      <c r="D8" s="767" t="s">
        <v>652</v>
      </c>
      <c r="E8" s="768"/>
      <c r="F8" s="768"/>
      <c r="G8" s="768"/>
      <c r="H8" s="769"/>
      <c r="I8" s="281"/>
      <c r="J8" s="289" t="s">
        <v>18</v>
      </c>
      <c r="K8" s="282"/>
      <c r="L8" s="284">
        <f>L10+L12+L40+L42+L99+L206+L228</f>
        <v>0</v>
      </c>
      <c r="M8" s="283"/>
      <c r="N8" s="290">
        <f>IF(L$8=0,0%,L8/L$8)</f>
        <v>0</v>
      </c>
      <c r="O8" s="85">
        <f>IF(O10&gt;0,D8,0)</f>
        <v>0</v>
      </c>
      <c r="P8" s="231">
        <v>1</v>
      </c>
      <c r="Q8" s="231" t="str">
        <f>IF(AND(Q10=P8,Q17=P8,Q149=P8,Q248=P8)," ",D8)</f>
        <v>The budget of the Beneficiary is not complete!</v>
      </c>
    </row>
    <row r="9" spans="1:29" s="76" customFormat="1" ht="3" customHeight="1" x14ac:dyDescent="0.2">
      <c r="A9" s="87"/>
      <c r="B9" s="88"/>
      <c r="C9" s="88"/>
      <c r="D9" s="70"/>
      <c r="E9" s="70"/>
      <c r="F9" s="70"/>
      <c r="G9" s="70"/>
      <c r="H9" s="70"/>
      <c r="I9" s="70"/>
      <c r="J9" s="70"/>
      <c r="K9" s="88"/>
      <c r="L9" s="281"/>
      <c r="M9" s="70"/>
      <c r="N9" s="70"/>
      <c r="O9" s="89"/>
    </row>
    <row r="10" spans="1:29" ht="27" customHeight="1" x14ac:dyDescent="0.2">
      <c r="A10" s="247">
        <v>1</v>
      </c>
      <c r="B10" s="248" t="s">
        <v>60</v>
      </c>
      <c r="C10" s="249"/>
      <c r="D10" s="764" t="s">
        <v>280</v>
      </c>
      <c r="E10" s="765"/>
      <c r="F10" s="765"/>
      <c r="G10" s="765"/>
      <c r="H10" s="766"/>
      <c r="I10" s="250"/>
      <c r="J10" s="251" t="s">
        <v>18</v>
      </c>
      <c r="K10" s="249"/>
      <c r="L10" s="357">
        <v>0</v>
      </c>
      <c r="M10" s="287"/>
      <c r="N10" s="288">
        <f>IF(L10=0,0%,L10/L$8)</f>
        <v>0</v>
      </c>
      <c r="O10" s="497">
        <f>SUM(O11:O260)</f>
        <v>0</v>
      </c>
      <c r="P10" s="231"/>
      <c r="Q10" s="231"/>
    </row>
    <row r="11" spans="1:29" x14ac:dyDescent="0.2">
      <c r="B11" s="104"/>
      <c r="C11" s="88"/>
      <c r="D11" s="81"/>
      <c r="F11" s="81"/>
      <c r="H11" s="81"/>
      <c r="J11" s="81"/>
      <c r="K11" s="88"/>
      <c r="L11" s="81"/>
      <c r="N11" s="227"/>
    </row>
    <row r="12" spans="1:29" ht="27" customHeight="1" x14ac:dyDescent="0.2">
      <c r="A12" s="247">
        <v>2</v>
      </c>
      <c r="B12" s="248" t="s">
        <v>285</v>
      </c>
      <c r="C12" s="249"/>
      <c r="D12" s="770" t="str">
        <f>IF(AND(L14&gt;0,L16&gt;0),"Calculation of staff costs should be either on flat rate or on real cost basis (both options cannot be used together)!"," ")</f>
        <v xml:space="preserve"> </v>
      </c>
      <c r="E12" s="771"/>
      <c r="F12" s="771"/>
      <c r="G12" s="771"/>
      <c r="H12" s="772"/>
      <c r="I12" s="250"/>
      <c r="J12" s="251" t="s">
        <v>18</v>
      </c>
      <c r="K12" s="249"/>
      <c r="L12" s="252">
        <f>IF(L14&gt;0,L14,L16)</f>
        <v>0</v>
      </c>
      <c r="M12" s="250"/>
      <c r="N12" s="253">
        <f>IF(L12=0,0%,L12/L$8)</f>
        <v>0</v>
      </c>
      <c r="O12" s="495">
        <f>IF(LEN(D12)&gt;1,1,0)</f>
        <v>0</v>
      </c>
      <c r="P12" s="95"/>
    </row>
    <row r="13" spans="1:29" s="76" customFormat="1" ht="7.5" customHeight="1" x14ac:dyDescent="0.2">
      <c r="A13" s="87"/>
      <c r="B13" s="88"/>
      <c r="C13" s="88"/>
      <c r="D13" s="70"/>
      <c r="E13" s="70"/>
      <c r="F13" s="70"/>
      <c r="G13" s="70"/>
      <c r="H13" s="70"/>
      <c r="I13" s="70"/>
      <c r="J13" s="70"/>
      <c r="K13" s="88"/>
      <c r="L13" s="70"/>
      <c r="M13" s="70"/>
      <c r="N13" s="70"/>
      <c r="O13" s="89"/>
      <c r="V13" s="79"/>
    </row>
    <row r="14" spans="1:29" ht="25.5" x14ac:dyDescent="0.2">
      <c r="A14" s="347"/>
      <c r="B14" s="348" t="s">
        <v>313</v>
      </c>
      <c r="C14" s="345"/>
      <c r="D14" s="777" t="s">
        <v>282</v>
      </c>
      <c r="E14" s="778"/>
      <c r="F14" s="778"/>
      <c r="G14" s="778"/>
      <c r="H14" s="779"/>
      <c r="I14" s="346"/>
      <c r="J14" s="349" t="s">
        <v>18</v>
      </c>
      <c r="K14" s="88"/>
      <c r="L14" s="156">
        <f>FLOOR(IF(D14=V15,IF((L228&gt;0),IF((L99+L208+L228)*0.1&gt;P14,P14,(L99+L208+L228)*0.1),IF((L99+L208+L228)*0.2&gt;P14,P14,(L99+L208+L228)*0.2)),0),0.01)</f>
        <v>0</v>
      </c>
      <c r="M14" s="246"/>
      <c r="N14" s="147">
        <f>IF(L14=0,0%,L14/L$8)</f>
        <v>0</v>
      </c>
      <c r="O14" s="353"/>
      <c r="P14" s="356">
        <v>100000</v>
      </c>
      <c r="Q14" s="231" t="str">
        <f>IF(L14&gt;P14,D14,"")</f>
        <v/>
      </c>
      <c r="R14" s="79" t="str">
        <f>IF(AND(R20="NOT",R21="NOT",R22="NOT",R23="NOT",R24="NOT",R25="NOT",S20="NOT",S21="NOT",S22="NOT",S23="NOT",S24="NOT",S25="NOT",T20="NOT",T21="NOT",T22="NOT",T23="NOT",T24="NOT",T25="NOT"),"NOT",D14)</f>
        <v>Please select an option!</v>
      </c>
      <c r="V14" s="79" t="s">
        <v>282</v>
      </c>
    </row>
    <row r="15" spans="1:29" s="76" customFormat="1" ht="27" customHeight="1" x14ac:dyDescent="0.2">
      <c r="A15" s="87"/>
      <c r="B15" s="802" t="s">
        <v>599</v>
      </c>
      <c r="C15" s="803"/>
      <c r="D15" s="803"/>
      <c r="E15" s="803"/>
      <c r="F15" s="803"/>
      <c r="G15" s="803"/>
      <c r="H15" s="803"/>
      <c r="I15" s="803"/>
      <c r="J15" s="803"/>
      <c r="K15" s="803"/>
      <c r="L15" s="803"/>
      <c r="M15" s="70"/>
      <c r="N15" s="70"/>
      <c r="O15" s="353"/>
      <c r="P15" s="354"/>
      <c r="Q15" s="355"/>
      <c r="V15" s="79" t="s">
        <v>644</v>
      </c>
    </row>
    <row r="16" spans="1:29" ht="25.5" customHeight="1" x14ac:dyDescent="0.2">
      <c r="A16" s="347"/>
      <c r="B16" s="348" t="s">
        <v>281</v>
      </c>
      <c r="C16" s="345"/>
      <c r="D16" s="773" t="s">
        <v>166</v>
      </c>
      <c r="E16" s="774"/>
      <c r="F16" s="774"/>
      <c r="G16" s="774"/>
      <c r="H16" s="775"/>
      <c r="I16" s="346"/>
      <c r="J16" s="349" t="s">
        <v>18</v>
      </c>
      <c r="K16" s="88"/>
      <c r="L16" s="156">
        <f>SUM(L23:L37)</f>
        <v>0</v>
      </c>
      <c r="M16" s="246"/>
      <c r="N16" s="147">
        <f>IF(L16=0,0%,L16/L$8)</f>
        <v>0</v>
      </c>
      <c r="O16" s="495">
        <f>IF(LEN(R16)&gt;3,1,0)</f>
        <v>0</v>
      </c>
      <c r="R16" s="494" t="str">
        <f>IF(AND(R22="NOT",S22="NOT",T22="NOT",R18="NOT"),"NOT",D16)</f>
        <v>NOT</v>
      </c>
      <c r="V16" s="79" t="s">
        <v>283</v>
      </c>
    </row>
    <row r="17" spans="1:22" s="76" customFormat="1" ht="15" customHeight="1" x14ac:dyDescent="0.2">
      <c r="A17" s="87"/>
      <c r="B17" s="752"/>
      <c r="C17" s="776"/>
      <c r="D17" s="776"/>
      <c r="E17" s="776"/>
      <c r="F17" s="776"/>
      <c r="G17" s="776"/>
      <c r="H17" s="776"/>
      <c r="I17" s="776"/>
      <c r="J17" s="776"/>
      <c r="K17" s="776"/>
      <c r="L17" s="776"/>
      <c r="M17" s="70"/>
      <c r="N17" s="70"/>
      <c r="O17" s="353"/>
      <c r="P17" s="271"/>
      <c r="Q17" s="231"/>
      <c r="V17" s="79"/>
    </row>
    <row r="18" spans="1:22" x14ac:dyDescent="0.2">
      <c r="B18" s="742" t="s">
        <v>84</v>
      </c>
      <c r="C18" s="743"/>
      <c r="D18" s="743"/>
      <c r="E18" s="743"/>
      <c r="F18" s="743"/>
      <c r="H18" s="81"/>
      <c r="J18" s="81"/>
      <c r="K18" s="88"/>
      <c r="L18" s="81"/>
      <c r="N18" s="227"/>
      <c r="R18" s="494" t="str">
        <f>IF(AND(($L16&gt;0),ISBLANK(B20)),B18,"NOT")</f>
        <v>NOT</v>
      </c>
    </row>
    <row r="19" spans="1:22" ht="3" customHeight="1" x14ac:dyDescent="0.2">
      <c r="B19" s="104"/>
      <c r="C19" s="88"/>
      <c r="D19" s="81"/>
      <c r="F19" s="81"/>
      <c r="H19" s="81"/>
      <c r="J19" s="81"/>
      <c r="K19" s="88"/>
      <c r="L19" s="81"/>
      <c r="N19" s="227"/>
    </row>
    <row r="20" spans="1:22" ht="81" customHeight="1" x14ac:dyDescent="0.2">
      <c r="B20" s="744"/>
      <c r="C20" s="745"/>
      <c r="D20" s="745"/>
      <c r="E20" s="745"/>
      <c r="F20" s="745"/>
      <c r="G20" s="745"/>
      <c r="H20" s="745"/>
      <c r="I20" s="745"/>
      <c r="J20" s="745"/>
      <c r="K20" s="745"/>
      <c r="L20" s="746"/>
      <c r="M20" s="70" t="s">
        <v>19</v>
      </c>
      <c r="N20" s="227"/>
    </row>
    <row r="21" spans="1:22" ht="3.75" customHeight="1" x14ac:dyDescent="0.2">
      <c r="B21" s="104"/>
      <c r="C21" s="88"/>
      <c r="D21" s="81"/>
      <c r="F21" s="81"/>
      <c r="H21" s="81"/>
      <c r="J21" s="81"/>
      <c r="K21" s="88"/>
      <c r="L21" s="81"/>
      <c r="N21" s="227"/>
    </row>
    <row r="22" spans="1:22" ht="38.25" x14ac:dyDescent="0.2">
      <c r="B22" s="244" t="s">
        <v>201</v>
      </c>
      <c r="C22" s="88"/>
      <c r="D22" s="244" t="s">
        <v>580</v>
      </c>
      <c r="F22" s="244" t="s">
        <v>205</v>
      </c>
      <c r="H22" s="244" t="s">
        <v>16</v>
      </c>
      <c r="J22" s="244" t="s">
        <v>15</v>
      </c>
      <c r="K22" s="245"/>
      <c r="L22" s="103" t="s">
        <v>141</v>
      </c>
      <c r="N22" s="81"/>
      <c r="R22" s="496" t="str">
        <f>IF(AND(R23="NOT",R24="NOT",R25="NOT",R26="NOT",R27="NOT",R28="NOT",R29="NOT",R30="NOT",R31="NOT",R32="NOT",R33="NOT",R34="NOT",R35="NOT",R36="NOT",R37="NOT"),"NOT",1)</f>
        <v>NOT</v>
      </c>
      <c r="S22" s="496" t="str">
        <f>IF(AND(S23="NOT",S24="NOT",S25="NOT",S26="NOT",S27="NOT",S28="NOT",S29="NOT",S30="NOT",S31="NOT",S32="NOT",S33="NOT",S34="NOT",S35="NOT",S36="NOT",S37="NOT"),"NOT",1)</f>
        <v>NOT</v>
      </c>
      <c r="T22" s="496" t="str">
        <f>IF(AND(T23="NOT",T24="NOT",T25="NOT",T26="NOT",T27="NOT",T28="NOT",T29="NOT",T30="NOT",T31="NOT",T32="NOT",T33="NOT",T34="NOT",T35="NOT",T36="NOT",T37="NOT"),"NOT",1)</f>
        <v>NOT</v>
      </c>
    </row>
    <row r="23" spans="1:22" x14ac:dyDescent="0.2">
      <c r="B23" s="259"/>
      <c r="C23" s="88"/>
      <c r="D23" s="260"/>
      <c r="E23" s="243"/>
      <c r="F23" s="261" t="s">
        <v>85</v>
      </c>
      <c r="G23" s="243"/>
      <c r="H23" s="262"/>
      <c r="I23" s="243"/>
      <c r="J23" s="262"/>
      <c r="K23" s="88"/>
      <c r="L23" s="143">
        <f t="shared" ref="L23:L37" si="0">TRUNC(H23*J23,2)</f>
        <v>0</v>
      </c>
      <c r="N23" s="81"/>
      <c r="R23" s="79" t="str">
        <f t="shared" ref="R23:R37" si="1">IF(AND(($L23&gt;0),ISBLANK(B23)),B23,"NOT")</f>
        <v>NOT</v>
      </c>
      <c r="S23" s="79" t="str">
        <f t="shared" ref="S23:S37" si="2">IF(AND(($L23&gt;0),ISBLANK(D23)),D23,"NOT")</f>
        <v>NOT</v>
      </c>
      <c r="T23" s="79" t="str">
        <f t="shared" ref="T23:T37" si="3">IF(AND(($L23&gt;0),ISBLANK(F23)),F23,"NOT")</f>
        <v>NOT</v>
      </c>
      <c r="V23" s="79" t="str">
        <f>LEFT(D23,3)</f>
        <v/>
      </c>
    </row>
    <row r="24" spans="1:22" x14ac:dyDescent="0.2">
      <c r="B24" s="259"/>
      <c r="C24" s="88"/>
      <c r="D24" s="260"/>
      <c r="E24" s="243"/>
      <c r="F24" s="261" t="s">
        <v>85</v>
      </c>
      <c r="G24" s="243"/>
      <c r="H24" s="262"/>
      <c r="I24" s="243"/>
      <c r="J24" s="262"/>
      <c r="K24" s="88"/>
      <c r="L24" s="143">
        <f t="shared" si="0"/>
        <v>0</v>
      </c>
      <c r="N24" s="81"/>
      <c r="R24" s="79" t="str">
        <f t="shared" si="1"/>
        <v>NOT</v>
      </c>
      <c r="S24" s="79" t="str">
        <f t="shared" si="2"/>
        <v>NOT</v>
      </c>
      <c r="T24" s="79" t="str">
        <f t="shared" si="3"/>
        <v>NOT</v>
      </c>
      <c r="V24" s="79" t="str">
        <f t="shared" ref="V24:V78" si="4">LEFT(D24,3)</f>
        <v/>
      </c>
    </row>
    <row r="25" spans="1:22" x14ac:dyDescent="0.2">
      <c r="B25" s="259"/>
      <c r="C25" s="88"/>
      <c r="D25" s="260"/>
      <c r="E25" s="243"/>
      <c r="F25" s="261" t="s">
        <v>85</v>
      </c>
      <c r="G25" s="243"/>
      <c r="H25" s="262"/>
      <c r="I25" s="243"/>
      <c r="J25" s="262"/>
      <c r="K25" s="88"/>
      <c r="L25" s="143">
        <f t="shared" si="0"/>
        <v>0</v>
      </c>
      <c r="N25" s="81"/>
      <c r="R25" s="79" t="str">
        <f t="shared" si="1"/>
        <v>NOT</v>
      </c>
      <c r="S25" s="79" t="str">
        <f t="shared" si="2"/>
        <v>NOT</v>
      </c>
      <c r="T25" s="79" t="str">
        <f t="shared" si="3"/>
        <v>NOT</v>
      </c>
      <c r="V25" s="79" t="str">
        <f t="shared" si="4"/>
        <v/>
      </c>
    </row>
    <row r="26" spans="1:22" x14ac:dyDescent="0.2">
      <c r="B26" s="259"/>
      <c r="C26" s="88"/>
      <c r="D26" s="260"/>
      <c r="E26" s="243"/>
      <c r="F26" s="261" t="s">
        <v>85</v>
      </c>
      <c r="G26" s="243"/>
      <c r="H26" s="262"/>
      <c r="I26" s="243"/>
      <c r="J26" s="262"/>
      <c r="K26" s="88"/>
      <c r="L26" s="143">
        <f t="shared" si="0"/>
        <v>0</v>
      </c>
      <c r="N26" s="81"/>
      <c r="R26" s="79" t="str">
        <f t="shared" si="1"/>
        <v>NOT</v>
      </c>
      <c r="S26" s="79" t="str">
        <f t="shared" si="2"/>
        <v>NOT</v>
      </c>
      <c r="T26" s="79" t="str">
        <f t="shared" si="3"/>
        <v>NOT</v>
      </c>
      <c r="V26" s="79" t="str">
        <f t="shared" si="4"/>
        <v/>
      </c>
    </row>
    <row r="27" spans="1:22" x14ac:dyDescent="0.2">
      <c r="B27" s="259"/>
      <c r="C27" s="88"/>
      <c r="D27" s="260"/>
      <c r="E27" s="243"/>
      <c r="F27" s="261" t="s">
        <v>85</v>
      </c>
      <c r="G27" s="243"/>
      <c r="H27" s="262"/>
      <c r="I27" s="243"/>
      <c r="J27" s="262"/>
      <c r="K27" s="88"/>
      <c r="L27" s="143">
        <f t="shared" si="0"/>
        <v>0</v>
      </c>
      <c r="N27" s="81"/>
      <c r="R27" s="79" t="str">
        <f t="shared" si="1"/>
        <v>NOT</v>
      </c>
      <c r="S27" s="79" t="str">
        <f t="shared" si="2"/>
        <v>NOT</v>
      </c>
      <c r="T27" s="79" t="str">
        <f t="shared" si="3"/>
        <v>NOT</v>
      </c>
      <c r="V27" s="79" t="str">
        <f t="shared" si="4"/>
        <v/>
      </c>
    </row>
    <row r="28" spans="1:22" x14ac:dyDescent="0.2">
      <c r="B28" s="259"/>
      <c r="C28" s="88"/>
      <c r="D28" s="260"/>
      <c r="E28" s="243"/>
      <c r="F28" s="261" t="s">
        <v>85</v>
      </c>
      <c r="G28" s="243"/>
      <c r="H28" s="262"/>
      <c r="I28" s="243"/>
      <c r="J28" s="262"/>
      <c r="K28" s="88"/>
      <c r="L28" s="143">
        <f t="shared" si="0"/>
        <v>0</v>
      </c>
      <c r="N28" s="81"/>
      <c r="R28" s="79" t="str">
        <f t="shared" si="1"/>
        <v>NOT</v>
      </c>
      <c r="S28" s="79" t="str">
        <f t="shared" si="2"/>
        <v>NOT</v>
      </c>
      <c r="T28" s="79" t="str">
        <f t="shared" si="3"/>
        <v>NOT</v>
      </c>
      <c r="V28" s="79" t="str">
        <f t="shared" si="4"/>
        <v/>
      </c>
    </row>
    <row r="29" spans="1:22" x14ac:dyDescent="0.2">
      <c r="B29" s="259"/>
      <c r="C29" s="88"/>
      <c r="D29" s="260"/>
      <c r="E29" s="243"/>
      <c r="F29" s="261" t="s">
        <v>85</v>
      </c>
      <c r="G29" s="243"/>
      <c r="H29" s="262"/>
      <c r="I29" s="243"/>
      <c r="J29" s="262"/>
      <c r="K29" s="88"/>
      <c r="L29" s="143">
        <f t="shared" si="0"/>
        <v>0</v>
      </c>
      <c r="N29" s="81"/>
      <c r="R29" s="79" t="str">
        <f t="shared" si="1"/>
        <v>NOT</v>
      </c>
      <c r="S29" s="79" t="str">
        <f t="shared" si="2"/>
        <v>NOT</v>
      </c>
      <c r="T29" s="79" t="str">
        <f t="shared" si="3"/>
        <v>NOT</v>
      </c>
      <c r="V29" s="79" t="str">
        <f t="shared" si="4"/>
        <v/>
      </c>
    </row>
    <row r="30" spans="1:22" x14ac:dyDescent="0.2">
      <c r="B30" s="259"/>
      <c r="C30" s="88"/>
      <c r="D30" s="260"/>
      <c r="E30" s="243"/>
      <c r="F30" s="261" t="s">
        <v>85</v>
      </c>
      <c r="G30" s="243"/>
      <c r="H30" s="262"/>
      <c r="I30" s="243"/>
      <c r="J30" s="262"/>
      <c r="K30" s="88"/>
      <c r="L30" s="143">
        <f t="shared" si="0"/>
        <v>0</v>
      </c>
      <c r="N30" s="81"/>
      <c r="R30" s="79" t="str">
        <f t="shared" si="1"/>
        <v>NOT</v>
      </c>
      <c r="S30" s="79" t="str">
        <f t="shared" si="2"/>
        <v>NOT</v>
      </c>
      <c r="T30" s="79" t="str">
        <f t="shared" si="3"/>
        <v>NOT</v>
      </c>
      <c r="V30" s="79" t="str">
        <f t="shared" si="4"/>
        <v/>
      </c>
    </row>
    <row r="31" spans="1:22" x14ac:dyDescent="0.2">
      <c r="B31" s="259"/>
      <c r="C31" s="88"/>
      <c r="D31" s="260"/>
      <c r="E31" s="243"/>
      <c r="F31" s="261" t="s">
        <v>85</v>
      </c>
      <c r="G31" s="243"/>
      <c r="H31" s="262"/>
      <c r="I31" s="243"/>
      <c r="J31" s="262"/>
      <c r="K31" s="88"/>
      <c r="L31" s="143">
        <f t="shared" si="0"/>
        <v>0</v>
      </c>
      <c r="N31" s="81"/>
      <c r="R31" s="79" t="str">
        <f t="shared" si="1"/>
        <v>NOT</v>
      </c>
      <c r="S31" s="79" t="str">
        <f t="shared" si="2"/>
        <v>NOT</v>
      </c>
      <c r="T31" s="79" t="str">
        <f t="shared" si="3"/>
        <v>NOT</v>
      </c>
      <c r="V31" s="79" t="str">
        <f t="shared" si="4"/>
        <v/>
      </c>
    </row>
    <row r="32" spans="1:22" x14ac:dyDescent="0.2">
      <c r="B32" s="259"/>
      <c r="C32" s="88"/>
      <c r="D32" s="260"/>
      <c r="E32" s="243"/>
      <c r="F32" s="261" t="s">
        <v>85</v>
      </c>
      <c r="G32" s="243"/>
      <c r="H32" s="262"/>
      <c r="I32" s="243"/>
      <c r="J32" s="262"/>
      <c r="K32" s="88"/>
      <c r="L32" s="143">
        <f t="shared" si="0"/>
        <v>0</v>
      </c>
      <c r="N32" s="81"/>
      <c r="R32" s="79" t="str">
        <f t="shared" si="1"/>
        <v>NOT</v>
      </c>
      <c r="S32" s="79" t="str">
        <f t="shared" si="2"/>
        <v>NOT</v>
      </c>
      <c r="T32" s="79" t="str">
        <f t="shared" si="3"/>
        <v>NOT</v>
      </c>
      <c r="V32" s="79" t="str">
        <f t="shared" si="4"/>
        <v/>
      </c>
    </row>
    <row r="33" spans="1:22" x14ac:dyDescent="0.2">
      <c r="B33" s="259"/>
      <c r="C33" s="88"/>
      <c r="D33" s="260"/>
      <c r="E33" s="243"/>
      <c r="F33" s="261" t="s">
        <v>85</v>
      </c>
      <c r="G33" s="243"/>
      <c r="H33" s="262"/>
      <c r="I33" s="243"/>
      <c r="J33" s="262"/>
      <c r="K33" s="88"/>
      <c r="L33" s="143">
        <f t="shared" si="0"/>
        <v>0</v>
      </c>
      <c r="N33" s="81"/>
      <c r="R33" s="79" t="str">
        <f t="shared" si="1"/>
        <v>NOT</v>
      </c>
      <c r="S33" s="79" t="str">
        <f t="shared" si="2"/>
        <v>NOT</v>
      </c>
      <c r="T33" s="79" t="str">
        <f t="shared" si="3"/>
        <v>NOT</v>
      </c>
      <c r="V33" s="79" t="str">
        <f t="shared" si="4"/>
        <v/>
      </c>
    </row>
    <row r="34" spans="1:22" x14ac:dyDescent="0.2">
      <c r="B34" s="259"/>
      <c r="C34" s="88"/>
      <c r="D34" s="260"/>
      <c r="E34" s="243"/>
      <c r="F34" s="261" t="s">
        <v>85</v>
      </c>
      <c r="G34" s="243"/>
      <c r="H34" s="262"/>
      <c r="I34" s="243"/>
      <c r="J34" s="262"/>
      <c r="K34" s="88"/>
      <c r="L34" s="143">
        <f t="shared" si="0"/>
        <v>0</v>
      </c>
      <c r="N34" s="81"/>
      <c r="R34" s="79" t="str">
        <f t="shared" si="1"/>
        <v>NOT</v>
      </c>
      <c r="S34" s="79" t="str">
        <f t="shared" si="2"/>
        <v>NOT</v>
      </c>
      <c r="T34" s="79" t="str">
        <f t="shared" si="3"/>
        <v>NOT</v>
      </c>
      <c r="V34" s="79" t="str">
        <f t="shared" si="4"/>
        <v/>
      </c>
    </row>
    <row r="35" spans="1:22" x14ac:dyDescent="0.2">
      <c r="B35" s="259"/>
      <c r="C35" s="88"/>
      <c r="D35" s="260"/>
      <c r="E35" s="243"/>
      <c r="F35" s="261" t="s">
        <v>85</v>
      </c>
      <c r="G35" s="243"/>
      <c r="H35" s="262"/>
      <c r="I35" s="243"/>
      <c r="J35" s="262"/>
      <c r="K35" s="88"/>
      <c r="L35" s="143">
        <f t="shared" si="0"/>
        <v>0</v>
      </c>
      <c r="N35" s="81"/>
      <c r="R35" s="79" t="str">
        <f t="shared" si="1"/>
        <v>NOT</v>
      </c>
      <c r="S35" s="79" t="str">
        <f t="shared" si="2"/>
        <v>NOT</v>
      </c>
      <c r="T35" s="79" t="str">
        <f t="shared" si="3"/>
        <v>NOT</v>
      </c>
      <c r="V35" s="79" t="str">
        <f t="shared" si="4"/>
        <v/>
      </c>
    </row>
    <row r="36" spans="1:22" x14ac:dyDescent="0.2">
      <c r="B36" s="259"/>
      <c r="C36" s="88"/>
      <c r="D36" s="260"/>
      <c r="E36" s="243"/>
      <c r="F36" s="261" t="s">
        <v>85</v>
      </c>
      <c r="G36" s="243"/>
      <c r="H36" s="262"/>
      <c r="I36" s="243"/>
      <c r="J36" s="262"/>
      <c r="K36" s="88"/>
      <c r="L36" s="143">
        <f t="shared" si="0"/>
        <v>0</v>
      </c>
      <c r="N36" s="81"/>
      <c r="R36" s="79" t="str">
        <f t="shared" si="1"/>
        <v>NOT</v>
      </c>
      <c r="S36" s="79" t="str">
        <f t="shared" si="2"/>
        <v>NOT</v>
      </c>
      <c r="T36" s="79" t="str">
        <f t="shared" si="3"/>
        <v>NOT</v>
      </c>
      <c r="V36" s="79" t="str">
        <f t="shared" si="4"/>
        <v/>
      </c>
    </row>
    <row r="37" spans="1:22" x14ac:dyDescent="0.2">
      <c r="B37" s="259"/>
      <c r="C37" s="88"/>
      <c r="D37" s="260"/>
      <c r="E37" s="243"/>
      <c r="F37" s="261" t="s">
        <v>85</v>
      </c>
      <c r="G37" s="243"/>
      <c r="H37" s="262"/>
      <c r="I37" s="243"/>
      <c r="J37" s="262"/>
      <c r="K37" s="88"/>
      <c r="L37" s="143">
        <f t="shared" si="0"/>
        <v>0</v>
      </c>
      <c r="N37" s="81"/>
      <c r="R37" s="79" t="str">
        <f t="shared" si="1"/>
        <v>NOT</v>
      </c>
      <c r="S37" s="79" t="str">
        <f t="shared" si="2"/>
        <v>NOT</v>
      </c>
      <c r="T37" s="79" t="str">
        <f t="shared" si="3"/>
        <v>NOT</v>
      </c>
      <c r="V37" s="79" t="str">
        <f t="shared" si="4"/>
        <v/>
      </c>
    </row>
    <row r="38" spans="1:22" x14ac:dyDescent="0.2">
      <c r="B38" s="104"/>
      <c r="C38" s="88"/>
      <c r="D38" s="81"/>
      <c r="F38" s="81"/>
      <c r="H38" s="81"/>
      <c r="J38" s="81"/>
      <c r="K38" s="88"/>
      <c r="L38" s="81"/>
      <c r="N38" s="227"/>
    </row>
    <row r="39" spans="1:22" x14ac:dyDescent="0.2">
      <c r="B39" s="104"/>
      <c r="C39" s="88"/>
      <c r="D39" s="81"/>
      <c r="F39" s="81"/>
      <c r="H39" s="81"/>
      <c r="J39" s="81"/>
      <c r="K39" s="88"/>
      <c r="L39" s="81"/>
      <c r="N39" s="227"/>
    </row>
    <row r="40" spans="1:22" ht="27" customHeight="1" x14ac:dyDescent="0.2">
      <c r="A40" s="247">
        <v>3</v>
      </c>
      <c r="B40" s="248" t="s">
        <v>284</v>
      </c>
      <c r="C40" s="249"/>
      <c r="D40" s="783" t="s">
        <v>305</v>
      </c>
      <c r="E40" s="765"/>
      <c r="F40" s="765"/>
      <c r="G40" s="765"/>
      <c r="H40" s="766"/>
      <c r="I40" s="250"/>
      <c r="J40" s="251" t="s">
        <v>18</v>
      </c>
      <c r="K40" s="249"/>
      <c r="L40" s="252">
        <f>ROUNDDOWN(L12*0.15,2)</f>
        <v>0</v>
      </c>
      <c r="M40" s="250"/>
      <c r="N40" s="253">
        <f>IF(L40=0,0%,L40/L$8)</f>
        <v>0</v>
      </c>
      <c r="P40" s="270"/>
      <c r="Q40" s="231" t="str">
        <f>IF(N40&gt;P40,D40,"")</f>
        <v/>
      </c>
      <c r="S40" s="85"/>
    </row>
    <row r="41" spans="1:22" x14ac:dyDescent="0.2">
      <c r="B41" s="104"/>
      <c r="C41" s="88"/>
      <c r="D41" s="81"/>
      <c r="F41" s="81"/>
      <c r="H41" s="81"/>
      <c r="J41" s="81"/>
      <c r="K41" s="88"/>
      <c r="L41" s="81"/>
      <c r="N41" s="227"/>
    </row>
    <row r="42" spans="1:22" ht="27" customHeight="1" x14ac:dyDescent="0.2">
      <c r="A42" s="247">
        <v>4</v>
      </c>
      <c r="B42" s="248" t="s">
        <v>286</v>
      </c>
      <c r="C42" s="249"/>
      <c r="D42" s="784" t="s">
        <v>563</v>
      </c>
      <c r="E42" s="785"/>
      <c r="F42" s="785"/>
      <c r="G42" s="785"/>
      <c r="H42" s="786"/>
      <c r="I42" s="250"/>
      <c r="J42" s="251" t="s">
        <v>18</v>
      </c>
      <c r="K42" s="249"/>
      <c r="L42" s="252">
        <f>IF(L14&gt;0,0,(L44+L62+L80))</f>
        <v>0</v>
      </c>
      <c r="M42" s="250"/>
      <c r="N42" s="253">
        <f>IF(L42=0,0%,L42/L$8)</f>
        <v>0</v>
      </c>
      <c r="O42" s="495">
        <f>IF(LEN(Q42)&gt;1,1,0)</f>
        <v>0</v>
      </c>
      <c r="P42" s="95"/>
      <c r="Q42" s="79" t="str">
        <f>IF(AND(L14&gt;0,(L44+L62+L80)),D42,"")</f>
        <v/>
      </c>
    </row>
    <row r="43" spans="1:22" s="76" customFormat="1" ht="7.5" customHeight="1" x14ac:dyDescent="0.2">
      <c r="A43" s="87"/>
      <c r="B43" s="88"/>
      <c r="C43" s="88"/>
      <c r="D43" s="70"/>
      <c r="E43" s="70"/>
      <c r="F43" s="70"/>
      <c r="G43" s="70"/>
      <c r="H43" s="70"/>
      <c r="I43" s="70"/>
      <c r="J43" s="70"/>
      <c r="K43" s="88"/>
      <c r="L43" s="70"/>
      <c r="M43" s="70"/>
      <c r="N43" s="70"/>
      <c r="O43" s="89"/>
      <c r="V43" s="79"/>
    </row>
    <row r="44" spans="1:22" ht="13.5" customHeight="1" x14ac:dyDescent="0.2">
      <c r="A44" s="276"/>
      <c r="B44" s="278" t="s">
        <v>287</v>
      </c>
      <c r="C44" s="277"/>
      <c r="D44" s="747" t="s">
        <v>166</v>
      </c>
      <c r="E44" s="748"/>
      <c r="F44" s="748"/>
      <c r="G44" s="748"/>
      <c r="H44" s="748"/>
      <c r="I44" s="279"/>
      <c r="J44" s="280" t="s">
        <v>18</v>
      </c>
      <c r="K44" s="88"/>
      <c r="L44" s="156">
        <f>SUM(L51:L60)</f>
        <v>0</v>
      </c>
      <c r="M44" s="246"/>
      <c r="N44" s="147">
        <f>IF(L44=0,0%,L44/L$8)</f>
        <v>0</v>
      </c>
      <c r="O44" s="495">
        <f>IF(LEN(R44)&gt;3,1,0)</f>
        <v>0</v>
      </c>
      <c r="Q44" s="494">
        <f>IF(R44=D44,1,0)</f>
        <v>0</v>
      </c>
      <c r="R44" s="79" t="str">
        <f>IF(AND(R50="NOT",S50="NOT",T50="NOT"),"NOT",D44)</f>
        <v>NOT</v>
      </c>
    </row>
    <row r="45" spans="1:22" s="76" customFormat="1" ht="3" customHeight="1" x14ac:dyDescent="0.2">
      <c r="A45" s="87"/>
      <c r="B45" s="88"/>
      <c r="C45" s="88"/>
      <c r="D45" s="70"/>
      <c r="E45" s="70"/>
      <c r="F45" s="70"/>
      <c r="G45" s="70"/>
      <c r="H45" s="70"/>
      <c r="I45" s="70"/>
      <c r="J45" s="70"/>
      <c r="K45" s="88"/>
      <c r="L45" s="70"/>
      <c r="M45" s="70"/>
      <c r="N45" s="70"/>
      <c r="O45" s="89"/>
      <c r="V45" s="79"/>
    </row>
    <row r="46" spans="1:22" x14ac:dyDescent="0.2">
      <c r="B46" s="742" t="s">
        <v>197</v>
      </c>
      <c r="C46" s="743"/>
      <c r="D46" s="743"/>
      <c r="E46" s="743"/>
      <c r="F46" s="743"/>
      <c r="H46" s="81"/>
      <c r="J46" s="81"/>
      <c r="K46" s="88"/>
      <c r="L46" s="81"/>
      <c r="N46" s="227"/>
      <c r="R46" s="79" t="str">
        <f>IF(AND(($L44&gt;0),ISBLANK(B48)),B46,"NOT")</f>
        <v>NOT</v>
      </c>
    </row>
    <row r="47" spans="1:22" ht="3" customHeight="1" x14ac:dyDescent="0.2">
      <c r="B47" s="104"/>
      <c r="C47" s="88"/>
      <c r="D47" s="81"/>
      <c r="F47" s="81"/>
      <c r="H47" s="81"/>
      <c r="J47" s="81"/>
      <c r="K47" s="88"/>
      <c r="L47" s="81"/>
      <c r="N47" s="227"/>
    </row>
    <row r="48" spans="1:22" ht="50.25" customHeight="1" x14ac:dyDescent="0.2">
      <c r="B48" s="744"/>
      <c r="C48" s="745"/>
      <c r="D48" s="745"/>
      <c r="E48" s="745"/>
      <c r="F48" s="745"/>
      <c r="G48" s="745"/>
      <c r="H48" s="745"/>
      <c r="I48" s="745"/>
      <c r="J48" s="745"/>
      <c r="K48" s="745"/>
      <c r="L48" s="746"/>
      <c r="M48" s="70" t="s">
        <v>19</v>
      </c>
      <c r="N48" s="227"/>
    </row>
    <row r="49" spans="1:22" ht="3.75" customHeight="1" x14ac:dyDescent="0.2">
      <c r="B49" s="104"/>
      <c r="C49" s="88"/>
      <c r="D49" s="81"/>
      <c r="F49" s="81"/>
      <c r="H49" s="81"/>
      <c r="J49" s="81"/>
      <c r="K49" s="88"/>
      <c r="L49" s="81"/>
      <c r="N49" s="227"/>
    </row>
    <row r="50" spans="1:22" ht="12.75" customHeight="1" x14ac:dyDescent="0.2">
      <c r="B50" s="244" t="s">
        <v>17</v>
      </c>
      <c r="C50" s="88"/>
      <c r="D50" s="244" t="s">
        <v>580</v>
      </c>
      <c r="F50" s="244" t="s">
        <v>205</v>
      </c>
      <c r="H50" s="244" t="s">
        <v>16</v>
      </c>
      <c r="J50" s="244" t="s">
        <v>15</v>
      </c>
      <c r="K50" s="245"/>
      <c r="L50" s="103" t="s">
        <v>141</v>
      </c>
      <c r="N50" s="81"/>
      <c r="R50" s="255" t="str">
        <f>IF(AND(R51="NOT",R52="NOT",R53="NOT",R54="NOT",R55="NOT",R56="NOT",R57="NOT",R58="NOT",R59="NOT",R60="NOT",R46="NOT"),"NOT",D44)</f>
        <v>NOT</v>
      </c>
      <c r="S50" s="255" t="str">
        <f>IF(AND(S51="NOT",S52="NOT",S53="NOT",S54="NOT",S55="NOT",S56="NOT",S57="NOT",S58="NOT",S59="NOT",S60="NOT",R46="NOT"),"NOT",D44)</f>
        <v>NOT</v>
      </c>
      <c r="T50" s="255" t="str">
        <f>IF(AND(T51="NOT",T52="NOT",T53="NOT",T54="NOT",T55="NOT",T56="NOT",T57="NOT",T58="NOT",T59="NOT",T60="NOT",R46="NOT"),"NOT",D44)</f>
        <v>NOT</v>
      </c>
    </row>
    <row r="51" spans="1:22" x14ac:dyDescent="0.2">
      <c r="B51" s="259"/>
      <c r="C51" s="88"/>
      <c r="D51" s="260"/>
      <c r="E51" s="243"/>
      <c r="F51" s="261"/>
      <c r="G51" s="243"/>
      <c r="H51" s="262"/>
      <c r="I51" s="243"/>
      <c r="J51" s="262"/>
      <c r="K51" s="88"/>
      <c r="L51" s="143">
        <f t="shared" ref="L51:L60" si="5">TRUNC(H51*J51,2)</f>
        <v>0</v>
      </c>
      <c r="N51" s="81"/>
      <c r="R51" s="79" t="str">
        <f t="shared" ref="R51:R60" si="6">IF(AND(($L51&gt;0),ISBLANK(B51)),B51,"NOT")</f>
        <v>NOT</v>
      </c>
      <c r="S51" s="79" t="str">
        <f t="shared" ref="S51:S60" si="7">IF(AND(($L51&gt;0),ISBLANK(D51)),D51,"NOT")</f>
        <v>NOT</v>
      </c>
      <c r="T51" s="79" t="str">
        <f t="shared" ref="T51:T60" si="8">IF(AND(($L51&gt;0),ISBLANK(F51)),F51,"NOT")</f>
        <v>NOT</v>
      </c>
      <c r="V51" s="79" t="str">
        <f t="shared" si="4"/>
        <v/>
      </c>
    </row>
    <row r="52" spans="1:22" x14ac:dyDescent="0.2">
      <c r="B52" s="259"/>
      <c r="C52" s="88"/>
      <c r="D52" s="260"/>
      <c r="E52" s="243"/>
      <c r="F52" s="261"/>
      <c r="G52" s="243"/>
      <c r="H52" s="262"/>
      <c r="I52" s="243"/>
      <c r="J52" s="262"/>
      <c r="K52" s="88"/>
      <c r="L52" s="143">
        <f t="shared" si="5"/>
        <v>0</v>
      </c>
      <c r="N52" s="81"/>
      <c r="R52" s="79" t="str">
        <f t="shared" si="6"/>
        <v>NOT</v>
      </c>
      <c r="S52" s="79" t="str">
        <f t="shared" si="7"/>
        <v>NOT</v>
      </c>
      <c r="T52" s="79" t="str">
        <f t="shared" si="8"/>
        <v>NOT</v>
      </c>
      <c r="V52" s="79" t="str">
        <f t="shared" si="4"/>
        <v/>
      </c>
    </row>
    <row r="53" spans="1:22" x14ac:dyDescent="0.2">
      <c r="B53" s="259"/>
      <c r="C53" s="88"/>
      <c r="D53" s="260"/>
      <c r="E53" s="243"/>
      <c r="F53" s="261"/>
      <c r="G53" s="243"/>
      <c r="H53" s="262"/>
      <c r="I53" s="243"/>
      <c r="J53" s="262"/>
      <c r="K53" s="88"/>
      <c r="L53" s="143">
        <f t="shared" si="5"/>
        <v>0</v>
      </c>
      <c r="N53" s="81"/>
      <c r="R53" s="79" t="str">
        <f t="shared" si="6"/>
        <v>NOT</v>
      </c>
      <c r="S53" s="79" t="str">
        <f t="shared" si="7"/>
        <v>NOT</v>
      </c>
      <c r="T53" s="79" t="str">
        <f t="shared" si="8"/>
        <v>NOT</v>
      </c>
      <c r="V53" s="79" t="str">
        <f t="shared" si="4"/>
        <v/>
      </c>
    </row>
    <row r="54" spans="1:22" x14ac:dyDescent="0.2">
      <c r="B54" s="259"/>
      <c r="C54" s="88"/>
      <c r="D54" s="260"/>
      <c r="E54" s="243"/>
      <c r="F54" s="261"/>
      <c r="G54" s="243"/>
      <c r="H54" s="262"/>
      <c r="I54" s="243"/>
      <c r="J54" s="262"/>
      <c r="K54" s="88"/>
      <c r="L54" s="143">
        <f t="shared" si="5"/>
        <v>0</v>
      </c>
      <c r="N54" s="81"/>
      <c r="R54" s="79" t="str">
        <f t="shared" si="6"/>
        <v>NOT</v>
      </c>
      <c r="S54" s="79" t="str">
        <f t="shared" si="7"/>
        <v>NOT</v>
      </c>
      <c r="T54" s="79" t="str">
        <f t="shared" si="8"/>
        <v>NOT</v>
      </c>
      <c r="V54" s="79" t="str">
        <f t="shared" si="4"/>
        <v/>
      </c>
    </row>
    <row r="55" spans="1:22" x14ac:dyDescent="0.2">
      <c r="B55" s="259"/>
      <c r="C55" s="88"/>
      <c r="D55" s="260"/>
      <c r="E55" s="243"/>
      <c r="F55" s="261"/>
      <c r="G55" s="243"/>
      <c r="H55" s="262"/>
      <c r="I55" s="243"/>
      <c r="J55" s="262"/>
      <c r="K55" s="88"/>
      <c r="L55" s="143">
        <f t="shared" si="5"/>
        <v>0</v>
      </c>
      <c r="N55" s="81"/>
      <c r="R55" s="79" t="str">
        <f t="shared" si="6"/>
        <v>NOT</v>
      </c>
      <c r="S55" s="79" t="str">
        <f t="shared" si="7"/>
        <v>NOT</v>
      </c>
      <c r="T55" s="79" t="str">
        <f t="shared" si="8"/>
        <v>NOT</v>
      </c>
      <c r="V55" s="79" t="str">
        <f t="shared" si="4"/>
        <v/>
      </c>
    </row>
    <row r="56" spans="1:22" x14ac:dyDescent="0.2">
      <c r="B56" s="259"/>
      <c r="C56" s="88"/>
      <c r="D56" s="260"/>
      <c r="E56" s="243"/>
      <c r="F56" s="261"/>
      <c r="G56" s="243"/>
      <c r="H56" s="262"/>
      <c r="I56" s="243"/>
      <c r="J56" s="262"/>
      <c r="K56" s="88"/>
      <c r="L56" s="143">
        <f t="shared" si="5"/>
        <v>0</v>
      </c>
      <c r="N56" s="81"/>
      <c r="R56" s="79" t="str">
        <f t="shared" si="6"/>
        <v>NOT</v>
      </c>
      <c r="S56" s="79" t="str">
        <f t="shared" si="7"/>
        <v>NOT</v>
      </c>
      <c r="T56" s="79" t="str">
        <f t="shared" si="8"/>
        <v>NOT</v>
      </c>
      <c r="V56" s="79" t="str">
        <f t="shared" si="4"/>
        <v/>
      </c>
    </row>
    <row r="57" spans="1:22" x14ac:dyDescent="0.2">
      <c r="B57" s="259"/>
      <c r="C57" s="88"/>
      <c r="D57" s="260"/>
      <c r="E57" s="243"/>
      <c r="F57" s="261"/>
      <c r="G57" s="243"/>
      <c r="H57" s="262"/>
      <c r="I57" s="243"/>
      <c r="J57" s="262"/>
      <c r="K57" s="88"/>
      <c r="L57" s="143">
        <f t="shared" si="5"/>
        <v>0</v>
      </c>
      <c r="N57" s="81"/>
      <c r="R57" s="79" t="str">
        <f t="shared" si="6"/>
        <v>NOT</v>
      </c>
      <c r="S57" s="79" t="str">
        <f t="shared" si="7"/>
        <v>NOT</v>
      </c>
      <c r="T57" s="79" t="str">
        <f t="shared" si="8"/>
        <v>NOT</v>
      </c>
      <c r="V57" s="79" t="str">
        <f t="shared" si="4"/>
        <v/>
      </c>
    </row>
    <row r="58" spans="1:22" x14ac:dyDescent="0.2">
      <c r="B58" s="259"/>
      <c r="C58" s="88"/>
      <c r="D58" s="260"/>
      <c r="E58" s="243"/>
      <c r="F58" s="261"/>
      <c r="G58" s="243"/>
      <c r="H58" s="262"/>
      <c r="I58" s="243"/>
      <c r="J58" s="262"/>
      <c r="K58" s="88"/>
      <c r="L58" s="143">
        <f t="shared" si="5"/>
        <v>0</v>
      </c>
      <c r="N58" s="81"/>
      <c r="R58" s="79" t="str">
        <f t="shared" si="6"/>
        <v>NOT</v>
      </c>
      <c r="S58" s="79" t="str">
        <f t="shared" si="7"/>
        <v>NOT</v>
      </c>
      <c r="T58" s="79" t="str">
        <f t="shared" si="8"/>
        <v>NOT</v>
      </c>
      <c r="V58" s="79" t="str">
        <f t="shared" si="4"/>
        <v/>
      </c>
    </row>
    <row r="59" spans="1:22" x14ac:dyDescent="0.2">
      <c r="B59" s="259"/>
      <c r="C59" s="88"/>
      <c r="D59" s="260"/>
      <c r="E59" s="243"/>
      <c r="F59" s="261"/>
      <c r="G59" s="243"/>
      <c r="H59" s="262"/>
      <c r="I59" s="243"/>
      <c r="J59" s="262"/>
      <c r="K59" s="88"/>
      <c r="L59" s="143">
        <f t="shared" si="5"/>
        <v>0</v>
      </c>
      <c r="N59" s="81"/>
      <c r="R59" s="79" t="str">
        <f t="shared" si="6"/>
        <v>NOT</v>
      </c>
      <c r="S59" s="79" t="str">
        <f t="shared" si="7"/>
        <v>NOT</v>
      </c>
      <c r="T59" s="79" t="str">
        <f t="shared" si="8"/>
        <v>NOT</v>
      </c>
      <c r="V59" s="79" t="str">
        <f t="shared" si="4"/>
        <v/>
      </c>
    </row>
    <row r="60" spans="1:22" x14ac:dyDescent="0.2">
      <c r="B60" s="259"/>
      <c r="C60" s="88"/>
      <c r="D60" s="260"/>
      <c r="E60" s="243"/>
      <c r="F60" s="261"/>
      <c r="G60" s="243"/>
      <c r="H60" s="262"/>
      <c r="I60" s="243"/>
      <c r="J60" s="262"/>
      <c r="K60" s="88"/>
      <c r="L60" s="143">
        <f t="shared" si="5"/>
        <v>0</v>
      </c>
      <c r="N60" s="81"/>
      <c r="R60" s="79" t="str">
        <f t="shared" si="6"/>
        <v>NOT</v>
      </c>
      <c r="S60" s="79" t="str">
        <f t="shared" si="7"/>
        <v>NOT</v>
      </c>
      <c r="T60" s="79" t="str">
        <f t="shared" si="8"/>
        <v>NOT</v>
      </c>
      <c r="V60" s="79" t="str">
        <f t="shared" si="4"/>
        <v/>
      </c>
    </row>
    <row r="61" spans="1:22" x14ac:dyDescent="0.2">
      <c r="B61" s="104"/>
      <c r="C61" s="88"/>
      <c r="D61" s="81"/>
      <c r="F61" s="81"/>
      <c r="H61" s="81"/>
      <c r="J61" s="81"/>
      <c r="K61" s="88"/>
      <c r="L61" s="81"/>
      <c r="N61" s="227"/>
    </row>
    <row r="62" spans="1:22" ht="13.5" customHeight="1" x14ac:dyDescent="0.2">
      <c r="A62" s="276"/>
      <c r="B62" s="278" t="s">
        <v>288</v>
      </c>
      <c r="C62" s="277"/>
      <c r="D62" s="747" t="s">
        <v>166</v>
      </c>
      <c r="E62" s="748"/>
      <c r="F62" s="748"/>
      <c r="G62" s="748"/>
      <c r="H62" s="748"/>
      <c r="I62" s="279"/>
      <c r="J62" s="280" t="s">
        <v>18</v>
      </c>
      <c r="K62" s="88"/>
      <c r="L62" s="156">
        <f>SUM(L69:L78)</f>
        <v>0</v>
      </c>
      <c r="M62" s="246"/>
      <c r="N62" s="147">
        <f>IF(L62=0,0%,L62/L$8)</f>
        <v>0</v>
      </c>
      <c r="O62" s="495">
        <f>IF(LEN(R62)&gt;3,1,0)</f>
        <v>0</v>
      </c>
      <c r="Q62" s="494">
        <f>IF(R62=D62,1,0)</f>
        <v>0</v>
      </c>
      <c r="R62" s="79" t="str">
        <f>IF(AND(R68="NOT",S68="NOT",T68="NOT"),"NOT",D62)</f>
        <v>NOT</v>
      </c>
    </row>
    <row r="63" spans="1:22" s="76" customFormat="1" ht="3" customHeight="1" x14ac:dyDescent="0.2">
      <c r="A63" s="87"/>
      <c r="B63" s="88"/>
      <c r="C63" s="88"/>
      <c r="D63" s="70"/>
      <c r="E63" s="70"/>
      <c r="F63" s="70"/>
      <c r="G63" s="70"/>
      <c r="H63" s="70"/>
      <c r="I63" s="70"/>
      <c r="J63" s="70"/>
      <c r="K63" s="88"/>
      <c r="L63" s="70"/>
      <c r="M63" s="70"/>
      <c r="N63" s="70"/>
      <c r="O63" s="89"/>
      <c r="V63" s="79"/>
    </row>
    <row r="64" spans="1:22" x14ac:dyDescent="0.2">
      <c r="B64" s="742" t="s">
        <v>197</v>
      </c>
      <c r="C64" s="743"/>
      <c r="D64" s="743"/>
      <c r="E64" s="743"/>
      <c r="F64" s="743"/>
      <c r="H64" s="81"/>
      <c r="J64" s="81"/>
      <c r="K64" s="88"/>
      <c r="L64" s="81"/>
      <c r="N64" s="227"/>
      <c r="R64" s="79" t="str">
        <f>IF(AND(($L62&gt;0),ISBLANK(B66)),B64,"NOT")</f>
        <v>NOT</v>
      </c>
    </row>
    <row r="65" spans="1:22" ht="3" customHeight="1" x14ac:dyDescent="0.2">
      <c r="B65" s="104"/>
      <c r="C65" s="88"/>
      <c r="D65" s="81"/>
      <c r="F65" s="81"/>
      <c r="H65" s="81"/>
      <c r="J65" s="81"/>
      <c r="K65" s="88"/>
      <c r="L65" s="81"/>
      <c r="N65" s="227"/>
    </row>
    <row r="66" spans="1:22" ht="50.25" customHeight="1" x14ac:dyDescent="0.2">
      <c r="B66" s="744"/>
      <c r="C66" s="745"/>
      <c r="D66" s="745"/>
      <c r="E66" s="745"/>
      <c r="F66" s="745"/>
      <c r="G66" s="745"/>
      <c r="H66" s="745"/>
      <c r="I66" s="745"/>
      <c r="J66" s="745"/>
      <c r="K66" s="745"/>
      <c r="L66" s="746"/>
      <c r="M66" s="70" t="s">
        <v>19</v>
      </c>
      <c r="N66" s="227"/>
    </row>
    <row r="67" spans="1:22" ht="3.75" customHeight="1" x14ac:dyDescent="0.2">
      <c r="B67" s="104"/>
      <c r="C67" s="88"/>
      <c r="D67" s="81"/>
      <c r="F67" s="81"/>
      <c r="H67" s="81"/>
      <c r="J67" s="81"/>
      <c r="K67" s="88"/>
      <c r="L67" s="81"/>
      <c r="N67" s="227"/>
    </row>
    <row r="68" spans="1:22" ht="12.75" customHeight="1" x14ac:dyDescent="0.2">
      <c r="B68" s="244" t="s">
        <v>17</v>
      </c>
      <c r="C68" s="88"/>
      <c r="D68" s="244" t="s">
        <v>580</v>
      </c>
      <c r="F68" s="244" t="s">
        <v>205</v>
      </c>
      <c r="H68" s="244" t="s">
        <v>16</v>
      </c>
      <c r="J68" s="244" t="s">
        <v>15</v>
      </c>
      <c r="K68" s="245"/>
      <c r="L68" s="103" t="s">
        <v>141</v>
      </c>
      <c r="N68" s="81"/>
      <c r="R68" s="255" t="str">
        <f>IF(AND(R69="NOT",R70="NOT",R71="NOT",R72="NOT",R73="NOT",R74="NOT",R75="NOT",R76="NOT",R77="NOT",R78="NOT",R64="NOT"),"NOT",D62)</f>
        <v>NOT</v>
      </c>
      <c r="S68" s="255" t="str">
        <f>IF(AND(S69="NOT",S70="NOT",S71="NOT",S72="NOT",S73="NOT",S74="NOT",S75="NOT",S76="NOT",S77="NOT",S78="NOT",R64="NOT"),"NOT",D62)</f>
        <v>NOT</v>
      </c>
      <c r="T68" s="255" t="str">
        <f>IF(AND(T69="NOT",T70="NOT",T71="NOT",T72="NOT",T73="NOT",T74="NOT",T75="NOT",T76="NOT",T77="NOT",T78="NOT",R64="NOT"),"NOT",D62)</f>
        <v>NOT</v>
      </c>
    </row>
    <row r="69" spans="1:22" x14ac:dyDescent="0.2">
      <c r="B69" s="259"/>
      <c r="C69" s="88"/>
      <c r="D69" s="260"/>
      <c r="E69" s="243"/>
      <c r="F69" s="261"/>
      <c r="G69" s="243"/>
      <c r="H69" s="262"/>
      <c r="I69" s="243"/>
      <c r="J69" s="262"/>
      <c r="K69" s="88"/>
      <c r="L69" s="143">
        <f t="shared" ref="L69:L78" si="9">TRUNC(H69*J69,2)</f>
        <v>0</v>
      </c>
      <c r="N69" s="81"/>
      <c r="R69" s="79" t="str">
        <f t="shared" ref="R69:R78" si="10">IF(AND(($L69&gt;0),ISBLANK(B69)),B69,"NOT")</f>
        <v>NOT</v>
      </c>
      <c r="S69" s="79" t="str">
        <f t="shared" ref="S69:S78" si="11">IF(AND(($L69&gt;0),ISBLANK(D69)),D69,"NOT")</f>
        <v>NOT</v>
      </c>
      <c r="T69" s="79" t="str">
        <f t="shared" ref="T69:T78" si="12">IF(AND(($L69&gt;0),ISBLANK(F69)),F69,"NOT")</f>
        <v>NOT</v>
      </c>
      <c r="V69" s="79" t="str">
        <f t="shared" si="4"/>
        <v/>
      </c>
    </row>
    <row r="70" spans="1:22" x14ac:dyDescent="0.2">
      <c r="B70" s="259"/>
      <c r="C70" s="88"/>
      <c r="D70" s="260"/>
      <c r="E70" s="243"/>
      <c r="F70" s="261"/>
      <c r="G70" s="243"/>
      <c r="H70" s="262"/>
      <c r="I70" s="243"/>
      <c r="J70" s="262"/>
      <c r="K70" s="88"/>
      <c r="L70" s="143">
        <f t="shared" si="9"/>
        <v>0</v>
      </c>
      <c r="N70" s="81"/>
      <c r="R70" s="79" t="str">
        <f t="shared" si="10"/>
        <v>NOT</v>
      </c>
      <c r="S70" s="79" t="str">
        <f t="shared" si="11"/>
        <v>NOT</v>
      </c>
      <c r="T70" s="79" t="str">
        <f t="shared" si="12"/>
        <v>NOT</v>
      </c>
      <c r="V70" s="79" t="str">
        <f t="shared" si="4"/>
        <v/>
      </c>
    </row>
    <row r="71" spans="1:22" x14ac:dyDescent="0.2">
      <c r="B71" s="259"/>
      <c r="C71" s="88"/>
      <c r="D71" s="260"/>
      <c r="E71" s="243"/>
      <c r="F71" s="261"/>
      <c r="G71" s="243"/>
      <c r="H71" s="262"/>
      <c r="I71" s="243"/>
      <c r="J71" s="262"/>
      <c r="K71" s="88"/>
      <c r="L71" s="143">
        <f t="shared" si="9"/>
        <v>0</v>
      </c>
      <c r="N71" s="81"/>
      <c r="R71" s="79" t="str">
        <f t="shared" si="10"/>
        <v>NOT</v>
      </c>
      <c r="S71" s="79" t="str">
        <f t="shared" si="11"/>
        <v>NOT</v>
      </c>
      <c r="T71" s="79" t="str">
        <f t="shared" si="12"/>
        <v>NOT</v>
      </c>
      <c r="V71" s="79" t="str">
        <f t="shared" si="4"/>
        <v/>
      </c>
    </row>
    <row r="72" spans="1:22" x14ac:dyDescent="0.2">
      <c r="B72" s="259"/>
      <c r="C72" s="88"/>
      <c r="D72" s="260"/>
      <c r="E72" s="243"/>
      <c r="F72" s="261"/>
      <c r="G72" s="243"/>
      <c r="H72" s="262"/>
      <c r="I72" s="243"/>
      <c r="J72" s="262"/>
      <c r="K72" s="88"/>
      <c r="L72" s="143">
        <f t="shared" si="9"/>
        <v>0</v>
      </c>
      <c r="N72" s="81"/>
      <c r="R72" s="79" t="str">
        <f t="shared" si="10"/>
        <v>NOT</v>
      </c>
      <c r="S72" s="79" t="str">
        <f t="shared" si="11"/>
        <v>NOT</v>
      </c>
      <c r="T72" s="79" t="str">
        <f t="shared" si="12"/>
        <v>NOT</v>
      </c>
      <c r="V72" s="79" t="str">
        <f t="shared" si="4"/>
        <v/>
      </c>
    </row>
    <row r="73" spans="1:22" x14ac:dyDescent="0.2">
      <c r="B73" s="259"/>
      <c r="C73" s="88"/>
      <c r="D73" s="260"/>
      <c r="E73" s="243"/>
      <c r="F73" s="261"/>
      <c r="G73" s="243"/>
      <c r="H73" s="262"/>
      <c r="I73" s="243"/>
      <c r="J73" s="262"/>
      <c r="K73" s="88"/>
      <c r="L73" s="143">
        <f t="shared" si="9"/>
        <v>0</v>
      </c>
      <c r="N73" s="81"/>
      <c r="R73" s="79" t="str">
        <f t="shared" si="10"/>
        <v>NOT</v>
      </c>
      <c r="S73" s="79" t="str">
        <f t="shared" si="11"/>
        <v>NOT</v>
      </c>
      <c r="T73" s="79" t="str">
        <f t="shared" si="12"/>
        <v>NOT</v>
      </c>
      <c r="V73" s="79" t="str">
        <f t="shared" si="4"/>
        <v/>
      </c>
    </row>
    <row r="74" spans="1:22" x14ac:dyDescent="0.2">
      <c r="B74" s="259"/>
      <c r="C74" s="88"/>
      <c r="D74" s="260"/>
      <c r="E74" s="243"/>
      <c r="F74" s="261"/>
      <c r="G74" s="243"/>
      <c r="H74" s="262"/>
      <c r="I74" s="243"/>
      <c r="J74" s="262"/>
      <c r="K74" s="88"/>
      <c r="L74" s="143">
        <f t="shared" si="9"/>
        <v>0</v>
      </c>
      <c r="N74" s="81"/>
      <c r="R74" s="79" t="str">
        <f t="shared" si="10"/>
        <v>NOT</v>
      </c>
      <c r="S74" s="79" t="str">
        <f t="shared" si="11"/>
        <v>NOT</v>
      </c>
      <c r="T74" s="79" t="str">
        <f t="shared" si="12"/>
        <v>NOT</v>
      </c>
      <c r="V74" s="79" t="str">
        <f t="shared" si="4"/>
        <v/>
      </c>
    </row>
    <row r="75" spans="1:22" x14ac:dyDescent="0.2">
      <c r="B75" s="259"/>
      <c r="C75" s="88"/>
      <c r="D75" s="260"/>
      <c r="E75" s="243"/>
      <c r="F75" s="261"/>
      <c r="G75" s="243"/>
      <c r="H75" s="262"/>
      <c r="I75" s="243"/>
      <c r="J75" s="262"/>
      <c r="K75" s="88"/>
      <c r="L75" s="143">
        <f t="shared" si="9"/>
        <v>0</v>
      </c>
      <c r="N75" s="81"/>
      <c r="R75" s="79" t="str">
        <f t="shared" si="10"/>
        <v>NOT</v>
      </c>
      <c r="S75" s="79" t="str">
        <f t="shared" si="11"/>
        <v>NOT</v>
      </c>
      <c r="T75" s="79" t="str">
        <f t="shared" si="12"/>
        <v>NOT</v>
      </c>
      <c r="V75" s="79" t="str">
        <f t="shared" si="4"/>
        <v/>
      </c>
    </row>
    <row r="76" spans="1:22" x14ac:dyDescent="0.2">
      <c r="B76" s="259"/>
      <c r="C76" s="88"/>
      <c r="D76" s="260"/>
      <c r="E76" s="243"/>
      <c r="F76" s="261"/>
      <c r="G76" s="243"/>
      <c r="H76" s="262"/>
      <c r="I76" s="243"/>
      <c r="J76" s="262"/>
      <c r="K76" s="88"/>
      <c r="L76" s="143">
        <f t="shared" si="9"/>
        <v>0</v>
      </c>
      <c r="N76" s="81"/>
      <c r="R76" s="79" t="str">
        <f t="shared" si="10"/>
        <v>NOT</v>
      </c>
      <c r="S76" s="79" t="str">
        <f t="shared" si="11"/>
        <v>NOT</v>
      </c>
      <c r="T76" s="79" t="str">
        <f t="shared" si="12"/>
        <v>NOT</v>
      </c>
      <c r="V76" s="79" t="str">
        <f t="shared" si="4"/>
        <v/>
      </c>
    </row>
    <row r="77" spans="1:22" x14ac:dyDescent="0.2">
      <c r="B77" s="259"/>
      <c r="C77" s="88"/>
      <c r="D77" s="260"/>
      <c r="E77" s="243"/>
      <c r="F77" s="261"/>
      <c r="G77" s="243"/>
      <c r="H77" s="262"/>
      <c r="I77" s="243"/>
      <c r="J77" s="262"/>
      <c r="K77" s="88"/>
      <c r="L77" s="143">
        <f t="shared" si="9"/>
        <v>0</v>
      </c>
      <c r="N77" s="81"/>
      <c r="R77" s="79" t="str">
        <f t="shared" si="10"/>
        <v>NOT</v>
      </c>
      <c r="S77" s="79" t="str">
        <f t="shared" si="11"/>
        <v>NOT</v>
      </c>
      <c r="T77" s="79" t="str">
        <f t="shared" si="12"/>
        <v>NOT</v>
      </c>
      <c r="V77" s="79" t="str">
        <f t="shared" si="4"/>
        <v/>
      </c>
    </row>
    <row r="78" spans="1:22" x14ac:dyDescent="0.2">
      <c r="B78" s="259"/>
      <c r="C78" s="88"/>
      <c r="D78" s="260"/>
      <c r="E78" s="243"/>
      <c r="F78" s="261"/>
      <c r="G78" s="243"/>
      <c r="H78" s="262"/>
      <c r="I78" s="243"/>
      <c r="J78" s="262"/>
      <c r="K78" s="88"/>
      <c r="L78" s="143">
        <f t="shared" si="9"/>
        <v>0</v>
      </c>
      <c r="N78" s="81"/>
      <c r="R78" s="79" t="str">
        <f t="shared" si="10"/>
        <v>NOT</v>
      </c>
      <c r="S78" s="79" t="str">
        <f t="shared" si="11"/>
        <v>NOT</v>
      </c>
      <c r="T78" s="79" t="str">
        <f t="shared" si="12"/>
        <v>NOT</v>
      </c>
      <c r="V78" s="79" t="str">
        <f t="shared" si="4"/>
        <v/>
      </c>
    </row>
    <row r="79" spans="1:22" s="76" customFormat="1" ht="12.75" customHeight="1" x14ac:dyDescent="0.2">
      <c r="A79" s="87"/>
      <c r="B79" s="88"/>
      <c r="C79" s="88"/>
      <c r="D79" s="70"/>
      <c r="E79" s="70"/>
      <c r="F79" s="70"/>
      <c r="G79" s="70"/>
      <c r="H79" s="70"/>
      <c r="I79" s="70"/>
      <c r="J79" s="70"/>
      <c r="K79" s="88"/>
      <c r="L79" s="70"/>
      <c r="M79" s="70"/>
      <c r="N79" s="70"/>
      <c r="O79" s="89"/>
      <c r="V79" s="79"/>
    </row>
    <row r="80" spans="1:22" ht="13.5" customHeight="1" x14ac:dyDescent="0.2">
      <c r="A80" s="276"/>
      <c r="B80" s="278" t="s">
        <v>289</v>
      </c>
      <c r="C80" s="277"/>
      <c r="D80" s="747" t="s">
        <v>166</v>
      </c>
      <c r="E80" s="748"/>
      <c r="F80" s="748"/>
      <c r="G80" s="748"/>
      <c r="H80" s="748"/>
      <c r="I80" s="279"/>
      <c r="J80" s="280" t="s">
        <v>18</v>
      </c>
      <c r="K80" s="88"/>
      <c r="L80" s="156">
        <f>SUM(L87:L96)</f>
        <v>0</v>
      </c>
      <c r="M80" s="246"/>
      <c r="N80" s="147">
        <f>IF(L80=0,0%,L80/L$8)</f>
        <v>0</v>
      </c>
      <c r="O80" s="495">
        <f>IF(LEN(R80)&gt;3,1,0)</f>
        <v>0</v>
      </c>
      <c r="Q80" s="494">
        <f>IF(R80=D80,1,0)</f>
        <v>0</v>
      </c>
      <c r="R80" s="79" t="str">
        <f>IF(AND(R86="NOT",S86="NOT",T86="NOT"),"NOT",D80)</f>
        <v>NOT</v>
      </c>
    </row>
    <row r="81" spans="1:22" s="76" customFormat="1" ht="3" customHeight="1" x14ac:dyDescent="0.2">
      <c r="A81" s="87"/>
      <c r="B81" s="88"/>
      <c r="C81" s="88"/>
      <c r="D81" s="70"/>
      <c r="E81" s="70"/>
      <c r="F81" s="70"/>
      <c r="G81" s="70"/>
      <c r="H81" s="70"/>
      <c r="I81" s="70"/>
      <c r="J81" s="70"/>
      <c r="K81" s="88"/>
      <c r="L81" s="70"/>
      <c r="M81" s="70"/>
      <c r="N81" s="70"/>
      <c r="O81" s="89"/>
      <c r="V81" s="79"/>
    </row>
    <row r="82" spans="1:22" x14ac:dyDescent="0.2">
      <c r="B82" s="742" t="s">
        <v>197</v>
      </c>
      <c r="C82" s="743"/>
      <c r="D82" s="743"/>
      <c r="E82" s="743"/>
      <c r="F82" s="743"/>
      <c r="H82" s="81"/>
      <c r="J82" s="81"/>
      <c r="K82" s="88"/>
      <c r="L82" s="81"/>
      <c r="N82" s="227"/>
      <c r="R82" s="79" t="str">
        <f>IF(AND(($L80&gt;0),ISBLANK(B84)),B82,"NOT")</f>
        <v>NOT</v>
      </c>
    </row>
    <row r="83" spans="1:22" ht="3" customHeight="1" x14ac:dyDescent="0.2">
      <c r="B83" s="104"/>
      <c r="C83" s="88"/>
      <c r="D83" s="81"/>
      <c r="F83" s="81"/>
      <c r="H83" s="81"/>
      <c r="J83" s="81"/>
      <c r="K83" s="88"/>
      <c r="L83" s="81"/>
      <c r="N83" s="227"/>
    </row>
    <row r="84" spans="1:22" ht="50.25" customHeight="1" x14ac:dyDescent="0.2">
      <c r="B84" s="744"/>
      <c r="C84" s="745"/>
      <c r="D84" s="745"/>
      <c r="E84" s="745"/>
      <c r="F84" s="745"/>
      <c r="G84" s="745"/>
      <c r="H84" s="745"/>
      <c r="I84" s="745"/>
      <c r="J84" s="745"/>
      <c r="K84" s="745"/>
      <c r="L84" s="746"/>
      <c r="M84" s="70" t="s">
        <v>19</v>
      </c>
      <c r="N84" s="227"/>
    </row>
    <row r="85" spans="1:22" ht="3.75" customHeight="1" x14ac:dyDescent="0.2">
      <c r="B85" s="104"/>
      <c r="C85" s="88"/>
      <c r="D85" s="81"/>
      <c r="F85" s="81"/>
      <c r="H85" s="81"/>
      <c r="J85" s="81"/>
      <c r="K85" s="88"/>
      <c r="L85" s="81"/>
      <c r="N85" s="227"/>
    </row>
    <row r="86" spans="1:22" ht="12.75" customHeight="1" x14ac:dyDescent="0.2">
      <c r="B86" s="244" t="s">
        <v>17</v>
      </c>
      <c r="C86" s="88"/>
      <c r="D86" s="244" t="s">
        <v>580</v>
      </c>
      <c r="F86" s="244" t="s">
        <v>205</v>
      </c>
      <c r="H86" s="244" t="s">
        <v>16</v>
      </c>
      <c r="J86" s="244" t="s">
        <v>15</v>
      </c>
      <c r="K86" s="245"/>
      <c r="L86" s="103" t="s">
        <v>141</v>
      </c>
      <c r="N86" s="81"/>
      <c r="R86" s="255" t="str">
        <f>IF(AND(R87="NOT",R88="NOT",R89="NOT",R90="NOT",R91="NOT",R92="NOT",R93="NOT",R94="NOT",R95="NOT",R96="NOT",R82="NOT"),"NOT",D80)</f>
        <v>NOT</v>
      </c>
      <c r="S86" s="255" t="str">
        <f>IF(AND(S87="NOT",S88="NOT",S89="NOT",S90="NOT",S91="NOT",S92="NOT",S93="NOT",S94="NOT",S95="NOT",S96="NOT",R82="NOT"),"NOT",D80)</f>
        <v>NOT</v>
      </c>
      <c r="T86" s="255" t="str">
        <f>IF(AND(T87="NOT",T88="NOT",T89="NOT",T90="NOT",T91="NOT",T92="NOT",T93="NOT",T94="NOT",T95="NOT",T96="NOT",R82="NOT"),"NOT",D80)</f>
        <v>NOT</v>
      </c>
    </row>
    <row r="87" spans="1:22" x14ac:dyDescent="0.2">
      <c r="B87" s="259"/>
      <c r="C87" s="88"/>
      <c r="D87" s="260"/>
      <c r="E87" s="243"/>
      <c r="F87" s="261"/>
      <c r="G87" s="243"/>
      <c r="H87" s="262"/>
      <c r="I87" s="243"/>
      <c r="J87" s="262"/>
      <c r="K87" s="88"/>
      <c r="L87" s="143">
        <f t="shared" ref="L87:L96" si="13">TRUNC(H87*J87,2)</f>
        <v>0</v>
      </c>
      <c r="N87" s="81"/>
      <c r="R87" s="79" t="str">
        <f t="shared" ref="R87:R96" si="14">IF(AND(($L87&gt;0),ISBLANK(B87)),B87,"NOT")</f>
        <v>NOT</v>
      </c>
      <c r="S87" s="79" t="str">
        <f t="shared" ref="S87:S96" si="15">IF(AND(($L87&gt;0),ISBLANK(D87)),D87,"NOT")</f>
        <v>NOT</v>
      </c>
      <c r="T87" s="79" t="str">
        <f t="shared" ref="T87:T96" si="16">IF(AND(($L87&gt;0),ISBLANK(F87)),F87,"NOT")</f>
        <v>NOT</v>
      </c>
      <c r="V87" s="79" t="str">
        <f t="shared" ref="V87:V96" si="17">LEFT(D87,3)</f>
        <v/>
      </c>
    </row>
    <row r="88" spans="1:22" x14ac:dyDescent="0.2">
      <c r="B88" s="259"/>
      <c r="C88" s="88"/>
      <c r="D88" s="260"/>
      <c r="E88" s="243"/>
      <c r="F88" s="261"/>
      <c r="G88" s="243"/>
      <c r="H88" s="262"/>
      <c r="I88" s="243"/>
      <c r="J88" s="262"/>
      <c r="K88" s="88"/>
      <c r="L88" s="143">
        <f t="shared" si="13"/>
        <v>0</v>
      </c>
      <c r="N88" s="81"/>
      <c r="R88" s="79" t="str">
        <f t="shared" si="14"/>
        <v>NOT</v>
      </c>
      <c r="S88" s="79" t="str">
        <f t="shared" si="15"/>
        <v>NOT</v>
      </c>
      <c r="T88" s="79" t="str">
        <f t="shared" si="16"/>
        <v>NOT</v>
      </c>
      <c r="V88" s="79" t="str">
        <f t="shared" si="17"/>
        <v/>
      </c>
    </row>
    <row r="89" spans="1:22" x14ac:dyDescent="0.2">
      <c r="B89" s="259"/>
      <c r="C89" s="88"/>
      <c r="D89" s="260"/>
      <c r="E89" s="243"/>
      <c r="F89" s="261"/>
      <c r="G89" s="243"/>
      <c r="H89" s="262"/>
      <c r="I89" s="243"/>
      <c r="J89" s="262"/>
      <c r="K89" s="88"/>
      <c r="L89" s="143">
        <f t="shared" si="13"/>
        <v>0</v>
      </c>
      <c r="N89" s="81"/>
      <c r="R89" s="79" t="str">
        <f t="shared" si="14"/>
        <v>NOT</v>
      </c>
      <c r="S89" s="79" t="str">
        <f t="shared" si="15"/>
        <v>NOT</v>
      </c>
      <c r="T89" s="79" t="str">
        <f t="shared" si="16"/>
        <v>NOT</v>
      </c>
      <c r="V89" s="79" t="str">
        <f t="shared" si="17"/>
        <v/>
      </c>
    </row>
    <row r="90" spans="1:22" x14ac:dyDescent="0.2">
      <c r="B90" s="259"/>
      <c r="C90" s="88"/>
      <c r="D90" s="260"/>
      <c r="E90" s="243"/>
      <c r="F90" s="261"/>
      <c r="G90" s="243"/>
      <c r="H90" s="262"/>
      <c r="I90" s="243"/>
      <c r="J90" s="262"/>
      <c r="K90" s="88"/>
      <c r="L90" s="143">
        <f t="shared" si="13"/>
        <v>0</v>
      </c>
      <c r="N90" s="81"/>
      <c r="R90" s="79" t="str">
        <f t="shared" si="14"/>
        <v>NOT</v>
      </c>
      <c r="S90" s="79" t="str">
        <f t="shared" si="15"/>
        <v>NOT</v>
      </c>
      <c r="T90" s="79" t="str">
        <f t="shared" si="16"/>
        <v>NOT</v>
      </c>
      <c r="V90" s="79" t="str">
        <f t="shared" si="17"/>
        <v/>
      </c>
    </row>
    <row r="91" spans="1:22" x14ac:dyDescent="0.2">
      <c r="B91" s="259"/>
      <c r="C91" s="88"/>
      <c r="D91" s="260"/>
      <c r="E91" s="243"/>
      <c r="F91" s="261"/>
      <c r="G91" s="243"/>
      <c r="H91" s="262"/>
      <c r="I91" s="243"/>
      <c r="J91" s="262"/>
      <c r="K91" s="88"/>
      <c r="L91" s="143">
        <f t="shared" si="13"/>
        <v>0</v>
      </c>
      <c r="N91" s="81"/>
      <c r="R91" s="79" t="str">
        <f t="shared" si="14"/>
        <v>NOT</v>
      </c>
      <c r="S91" s="79" t="str">
        <f t="shared" si="15"/>
        <v>NOT</v>
      </c>
      <c r="T91" s="79" t="str">
        <f t="shared" si="16"/>
        <v>NOT</v>
      </c>
      <c r="V91" s="79" t="str">
        <f t="shared" si="17"/>
        <v/>
      </c>
    </row>
    <row r="92" spans="1:22" x14ac:dyDescent="0.2">
      <c r="B92" s="259"/>
      <c r="C92" s="88"/>
      <c r="D92" s="260"/>
      <c r="E92" s="243"/>
      <c r="F92" s="261"/>
      <c r="G92" s="243"/>
      <c r="H92" s="262"/>
      <c r="I92" s="243"/>
      <c r="J92" s="262"/>
      <c r="K92" s="88"/>
      <c r="L92" s="143">
        <f t="shared" si="13"/>
        <v>0</v>
      </c>
      <c r="N92" s="81"/>
      <c r="R92" s="79" t="str">
        <f t="shared" si="14"/>
        <v>NOT</v>
      </c>
      <c r="S92" s="79" t="str">
        <f t="shared" si="15"/>
        <v>NOT</v>
      </c>
      <c r="T92" s="79" t="str">
        <f t="shared" si="16"/>
        <v>NOT</v>
      </c>
      <c r="V92" s="79" t="str">
        <f t="shared" si="17"/>
        <v/>
      </c>
    </row>
    <row r="93" spans="1:22" x14ac:dyDescent="0.2">
      <c r="B93" s="259"/>
      <c r="C93" s="88"/>
      <c r="D93" s="260"/>
      <c r="E93" s="243"/>
      <c r="F93" s="261"/>
      <c r="G93" s="243"/>
      <c r="H93" s="262"/>
      <c r="I93" s="243"/>
      <c r="J93" s="262"/>
      <c r="K93" s="88"/>
      <c r="L93" s="143">
        <f t="shared" si="13"/>
        <v>0</v>
      </c>
      <c r="N93" s="81"/>
      <c r="R93" s="79" t="str">
        <f t="shared" si="14"/>
        <v>NOT</v>
      </c>
      <c r="S93" s="79" t="str">
        <f t="shared" si="15"/>
        <v>NOT</v>
      </c>
      <c r="T93" s="79" t="str">
        <f t="shared" si="16"/>
        <v>NOT</v>
      </c>
      <c r="V93" s="79" t="str">
        <f t="shared" si="17"/>
        <v/>
      </c>
    </row>
    <row r="94" spans="1:22" x14ac:dyDescent="0.2">
      <c r="B94" s="259"/>
      <c r="C94" s="88"/>
      <c r="D94" s="260"/>
      <c r="E94" s="243"/>
      <c r="F94" s="261"/>
      <c r="G94" s="243"/>
      <c r="H94" s="262"/>
      <c r="I94" s="243"/>
      <c r="J94" s="262"/>
      <c r="K94" s="88"/>
      <c r="L94" s="143">
        <f t="shared" si="13"/>
        <v>0</v>
      </c>
      <c r="N94" s="81"/>
      <c r="R94" s="79" t="str">
        <f t="shared" si="14"/>
        <v>NOT</v>
      </c>
      <c r="S94" s="79" t="str">
        <f t="shared" si="15"/>
        <v>NOT</v>
      </c>
      <c r="T94" s="79" t="str">
        <f t="shared" si="16"/>
        <v>NOT</v>
      </c>
      <c r="V94" s="79" t="str">
        <f t="shared" si="17"/>
        <v/>
      </c>
    </row>
    <row r="95" spans="1:22" x14ac:dyDescent="0.2">
      <c r="B95" s="259"/>
      <c r="C95" s="88"/>
      <c r="D95" s="260"/>
      <c r="E95" s="243"/>
      <c r="F95" s="261"/>
      <c r="G95" s="243"/>
      <c r="H95" s="262"/>
      <c r="I95" s="243"/>
      <c r="J95" s="262"/>
      <c r="K95" s="88"/>
      <c r="L95" s="143">
        <f t="shared" si="13"/>
        <v>0</v>
      </c>
      <c r="N95" s="81"/>
      <c r="R95" s="79" t="str">
        <f t="shared" si="14"/>
        <v>NOT</v>
      </c>
      <c r="S95" s="79" t="str">
        <f t="shared" si="15"/>
        <v>NOT</v>
      </c>
      <c r="T95" s="79" t="str">
        <f t="shared" si="16"/>
        <v>NOT</v>
      </c>
      <c r="V95" s="79" t="str">
        <f t="shared" si="17"/>
        <v/>
      </c>
    </row>
    <row r="96" spans="1:22" x14ac:dyDescent="0.2">
      <c r="B96" s="259"/>
      <c r="C96" s="88"/>
      <c r="D96" s="260"/>
      <c r="E96" s="243"/>
      <c r="F96" s="261"/>
      <c r="G96" s="243"/>
      <c r="H96" s="262"/>
      <c r="I96" s="243"/>
      <c r="J96" s="262"/>
      <c r="K96" s="88"/>
      <c r="L96" s="143">
        <f t="shared" si="13"/>
        <v>0</v>
      </c>
      <c r="N96" s="81"/>
      <c r="R96" s="79" t="str">
        <f t="shared" si="14"/>
        <v>NOT</v>
      </c>
      <c r="S96" s="79" t="str">
        <f t="shared" si="15"/>
        <v>NOT</v>
      </c>
      <c r="T96" s="79" t="str">
        <f t="shared" si="16"/>
        <v>NOT</v>
      </c>
      <c r="V96" s="79" t="str">
        <f t="shared" si="17"/>
        <v/>
      </c>
    </row>
    <row r="97" spans="1:22" x14ac:dyDescent="0.2">
      <c r="B97" s="104"/>
      <c r="C97" s="88"/>
      <c r="D97" s="81"/>
      <c r="F97" s="81"/>
      <c r="H97" s="81"/>
      <c r="J97" s="81"/>
      <c r="K97" s="88"/>
      <c r="L97" s="81"/>
      <c r="N97" s="227"/>
    </row>
    <row r="98" spans="1:22" x14ac:dyDescent="0.2">
      <c r="B98" s="104"/>
      <c r="C98" s="88"/>
      <c r="D98" s="81"/>
      <c r="F98" s="81"/>
      <c r="H98" s="81"/>
      <c r="J98" s="81"/>
      <c r="K98" s="88"/>
      <c r="L98" s="81"/>
      <c r="N98" s="227"/>
    </row>
    <row r="99" spans="1:22" ht="27" customHeight="1" x14ac:dyDescent="0.2">
      <c r="A99" s="247">
        <v>5</v>
      </c>
      <c r="B99" s="248" t="s">
        <v>290</v>
      </c>
      <c r="C99" s="249"/>
      <c r="D99" s="760"/>
      <c r="E99" s="761"/>
      <c r="F99" s="761"/>
      <c r="G99" s="761"/>
      <c r="H99" s="762"/>
      <c r="I99" s="250"/>
      <c r="J99" s="251" t="s">
        <v>18</v>
      </c>
      <c r="K99" s="249"/>
      <c r="L99" s="252">
        <f>L101+L112+L130+L148+L162+L174+L192</f>
        <v>0</v>
      </c>
      <c r="M99" s="250"/>
      <c r="N99" s="253">
        <f>IF(L99=0,0%,L99/L$8)</f>
        <v>0</v>
      </c>
      <c r="O99" s="94"/>
      <c r="P99" s="95"/>
      <c r="Q99" s="79" t="str">
        <f>IF(N99&gt;O99,D99,"")</f>
        <v/>
      </c>
    </row>
    <row r="100" spans="1:22" s="76" customFormat="1" ht="7.5" customHeight="1" x14ac:dyDescent="0.2">
      <c r="A100" s="87"/>
      <c r="B100" s="88"/>
      <c r="C100" s="88"/>
      <c r="D100" s="70"/>
      <c r="E100" s="70"/>
      <c r="F100" s="70"/>
      <c r="G100" s="70"/>
      <c r="H100" s="70"/>
      <c r="I100" s="70"/>
      <c r="J100" s="70"/>
      <c r="K100" s="88"/>
      <c r="L100" s="70"/>
      <c r="M100" s="70"/>
      <c r="N100" s="70"/>
      <c r="O100" s="89"/>
      <c r="V100" s="79"/>
    </row>
    <row r="101" spans="1:22" ht="13.5" customHeight="1" x14ac:dyDescent="0.2">
      <c r="A101" s="276"/>
      <c r="B101" s="278" t="s">
        <v>291</v>
      </c>
      <c r="C101" s="277"/>
      <c r="D101" s="747" t="s">
        <v>166</v>
      </c>
      <c r="E101" s="748"/>
      <c r="F101" s="748"/>
      <c r="G101" s="748"/>
      <c r="H101" s="748"/>
      <c r="I101" s="279"/>
      <c r="J101" s="280" t="s">
        <v>18</v>
      </c>
      <c r="K101" s="88"/>
      <c r="L101" s="156">
        <f>SUM(L108:L110)</f>
        <v>0</v>
      </c>
      <c r="M101" s="246"/>
      <c r="N101" s="147">
        <f>IF(L101=0,0%,L101/L$8)</f>
        <v>0</v>
      </c>
      <c r="O101" s="495">
        <f>IF(LEN(R101)&gt;3,1,0)</f>
        <v>0</v>
      </c>
      <c r="Q101" s="494">
        <f>IF(R101=D101,1,0)</f>
        <v>0</v>
      </c>
      <c r="R101" s="79" t="str">
        <f>IF(AND(R107="NOT",S107="NOT",T107="NOT"),"NOT",D101)</f>
        <v>NOT</v>
      </c>
    </row>
    <row r="102" spans="1:22" s="76" customFormat="1" ht="3" customHeight="1" x14ac:dyDescent="0.2">
      <c r="A102" s="87"/>
      <c r="B102" s="88"/>
      <c r="C102" s="88"/>
      <c r="D102" s="70"/>
      <c r="E102" s="70"/>
      <c r="F102" s="70"/>
      <c r="G102" s="70"/>
      <c r="H102" s="70"/>
      <c r="I102" s="70"/>
      <c r="J102" s="70"/>
      <c r="K102" s="88"/>
      <c r="L102" s="70"/>
      <c r="M102" s="70"/>
      <c r="N102" s="70"/>
      <c r="O102" s="89"/>
      <c r="V102" s="79"/>
    </row>
    <row r="103" spans="1:22" x14ac:dyDescent="0.2">
      <c r="B103" s="742" t="s">
        <v>197</v>
      </c>
      <c r="C103" s="743"/>
      <c r="D103" s="743"/>
      <c r="E103" s="743"/>
      <c r="F103" s="743"/>
      <c r="H103" s="81"/>
      <c r="J103" s="81"/>
      <c r="K103" s="88"/>
      <c r="L103" s="81"/>
      <c r="N103" s="227"/>
      <c r="R103" s="79" t="str">
        <f>IF(AND(($L101&gt;0),ISBLANK(B105)),B103,"NOT")</f>
        <v>NOT</v>
      </c>
    </row>
    <row r="104" spans="1:22" ht="3" customHeight="1" x14ac:dyDescent="0.2">
      <c r="B104" s="104"/>
      <c r="C104" s="88"/>
      <c r="D104" s="81"/>
      <c r="F104" s="81"/>
      <c r="H104" s="81"/>
      <c r="J104" s="81"/>
      <c r="K104" s="88"/>
      <c r="L104" s="81"/>
      <c r="N104" s="227"/>
    </row>
    <row r="105" spans="1:22" ht="36" customHeight="1" x14ac:dyDescent="0.2">
      <c r="B105" s="744"/>
      <c r="C105" s="745"/>
      <c r="D105" s="745"/>
      <c r="E105" s="745"/>
      <c r="F105" s="745"/>
      <c r="G105" s="745"/>
      <c r="H105" s="745"/>
      <c r="I105" s="745"/>
      <c r="J105" s="745"/>
      <c r="K105" s="745"/>
      <c r="L105" s="746"/>
      <c r="M105" s="70" t="s">
        <v>19</v>
      </c>
      <c r="N105" s="227"/>
    </row>
    <row r="106" spans="1:22" ht="3.75" customHeight="1" x14ac:dyDescent="0.2">
      <c r="B106" s="104"/>
      <c r="C106" s="88"/>
      <c r="D106" s="81"/>
      <c r="F106" s="81"/>
      <c r="H106" s="81"/>
      <c r="J106" s="81"/>
      <c r="K106" s="88"/>
      <c r="L106" s="81"/>
      <c r="N106" s="227"/>
    </row>
    <row r="107" spans="1:22" ht="12.75" customHeight="1" x14ac:dyDescent="0.2">
      <c r="B107" s="244" t="s">
        <v>17</v>
      </c>
      <c r="C107" s="88"/>
      <c r="D107" s="244" t="s">
        <v>580</v>
      </c>
      <c r="F107" s="244" t="s">
        <v>205</v>
      </c>
      <c r="H107" s="244" t="s">
        <v>16</v>
      </c>
      <c r="J107" s="244" t="s">
        <v>15</v>
      </c>
      <c r="K107" s="245"/>
      <c r="L107" s="103" t="s">
        <v>141</v>
      </c>
      <c r="N107" s="81"/>
      <c r="R107" s="255" t="str">
        <f>IF(AND(R108="NOT",R109="NOT",R110="NOT",R103="NOT"),"NOT",D101)</f>
        <v>NOT</v>
      </c>
      <c r="S107" s="255" t="str">
        <f>IF(AND(S108="NOT",S109="NOT",S110="NOT",R103="NOT"),"NOT",D101)</f>
        <v>NOT</v>
      </c>
      <c r="T107" s="255" t="str">
        <f>IF(AND(T108="NOT",T109="NOT",T110="NOT",R103="NOT"),"NOT",D101)</f>
        <v>NOT</v>
      </c>
    </row>
    <row r="108" spans="1:22" x14ac:dyDescent="0.2">
      <c r="B108" s="259"/>
      <c r="C108" s="88"/>
      <c r="D108" s="260"/>
      <c r="E108" s="243"/>
      <c r="F108" s="261"/>
      <c r="G108" s="243"/>
      <c r="H108" s="262"/>
      <c r="I108" s="243"/>
      <c r="J108" s="262"/>
      <c r="K108" s="88"/>
      <c r="L108" s="143">
        <f>TRUNC(H108*J108,2)</f>
        <v>0</v>
      </c>
      <c r="N108" s="81"/>
      <c r="R108" s="79" t="str">
        <f>IF(AND(($L108&gt;0),ISBLANK(B108)),B108,"NOT")</f>
        <v>NOT</v>
      </c>
      <c r="S108" s="79" t="str">
        <f>IF(AND(($L108&gt;0),ISBLANK(D108)),D108,"NOT")</f>
        <v>NOT</v>
      </c>
      <c r="T108" s="79" t="str">
        <f>IF(AND(($L108&gt;0),ISBLANK(F108)),F108,"NOT")</f>
        <v>NOT</v>
      </c>
      <c r="V108" s="79" t="str">
        <f>LEFT(D108,3)</f>
        <v/>
      </c>
    </row>
    <row r="109" spans="1:22" x14ac:dyDescent="0.2">
      <c r="B109" s="259"/>
      <c r="C109" s="88"/>
      <c r="D109" s="260"/>
      <c r="E109" s="243"/>
      <c r="F109" s="261"/>
      <c r="G109" s="243"/>
      <c r="H109" s="262"/>
      <c r="I109" s="243"/>
      <c r="J109" s="262"/>
      <c r="K109" s="88"/>
      <c r="L109" s="143">
        <f>TRUNC(H109*J109,2)</f>
        <v>0</v>
      </c>
      <c r="N109" s="81"/>
      <c r="R109" s="79" t="str">
        <f>IF(AND(($L109&gt;0),ISBLANK(B109)),B109,"NOT")</f>
        <v>NOT</v>
      </c>
      <c r="S109" s="79" t="str">
        <f>IF(AND(($L109&gt;0),ISBLANK(D109)),D109,"NOT")</f>
        <v>NOT</v>
      </c>
      <c r="T109" s="79" t="str">
        <f>IF(AND(($L109&gt;0),ISBLANK(F109)),F109,"NOT")</f>
        <v>NOT</v>
      </c>
      <c r="V109" s="79" t="str">
        <f>LEFT(D109,3)</f>
        <v/>
      </c>
    </row>
    <row r="110" spans="1:22" x14ac:dyDescent="0.2">
      <c r="B110" s="259"/>
      <c r="C110" s="88"/>
      <c r="D110" s="260"/>
      <c r="E110" s="243"/>
      <c r="F110" s="261"/>
      <c r="G110" s="243"/>
      <c r="H110" s="262"/>
      <c r="I110" s="243"/>
      <c r="J110" s="262"/>
      <c r="K110" s="88"/>
      <c r="L110" s="143">
        <f>TRUNC(H110*J110,2)</f>
        <v>0</v>
      </c>
      <c r="N110" s="81"/>
      <c r="R110" s="79" t="str">
        <f>IF(AND(($L110&gt;0),ISBLANK(B110)),B110,"NOT")</f>
        <v>NOT</v>
      </c>
      <c r="S110" s="79" t="str">
        <f>IF(AND(($L110&gt;0),ISBLANK(D110)),D110,"NOT")</f>
        <v>NOT</v>
      </c>
      <c r="T110" s="79" t="str">
        <f>IF(AND(($L110&gt;0),ISBLANK(F110)),F110,"NOT")</f>
        <v>NOT</v>
      </c>
      <c r="V110" s="79" t="str">
        <f>LEFT(D110,3)</f>
        <v/>
      </c>
    </row>
    <row r="111" spans="1:22" x14ac:dyDescent="0.2">
      <c r="B111" s="104"/>
      <c r="C111" s="88"/>
      <c r="D111" s="81"/>
      <c r="F111" s="81"/>
      <c r="H111" s="81"/>
      <c r="J111" s="81"/>
      <c r="K111" s="88"/>
      <c r="L111" s="81"/>
      <c r="N111" s="227"/>
    </row>
    <row r="112" spans="1:22" ht="25.5" customHeight="1" x14ac:dyDescent="0.2">
      <c r="A112" s="276"/>
      <c r="B112" s="278" t="s">
        <v>292</v>
      </c>
      <c r="C112" s="277"/>
      <c r="D112" s="747" t="s">
        <v>166</v>
      </c>
      <c r="E112" s="748"/>
      <c r="F112" s="748"/>
      <c r="G112" s="748"/>
      <c r="H112" s="748"/>
      <c r="I112" s="279"/>
      <c r="J112" s="280" t="s">
        <v>18</v>
      </c>
      <c r="K112" s="88"/>
      <c r="L112" s="156">
        <f>SUM(L119:L128)</f>
        <v>0</v>
      </c>
      <c r="M112" s="246"/>
      <c r="N112" s="147">
        <f>IF(L112=0,0%,L112/L$8)</f>
        <v>0</v>
      </c>
      <c r="O112" s="495">
        <f>IF(LEN(R112)&gt;3,1,0)</f>
        <v>0</v>
      </c>
      <c r="Q112" s="494">
        <f>IF(R112=D112,1,0)</f>
        <v>0</v>
      </c>
      <c r="R112" s="79" t="str">
        <f>IF(AND(R118="NOT",S118="NOT",T118="NOT"),"NOT",D112)</f>
        <v>NOT</v>
      </c>
    </row>
    <row r="113" spans="1:22" s="76" customFormat="1" ht="3" customHeight="1" x14ac:dyDescent="0.2">
      <c r="A113" s="87"/>
      <c r="B113" s="88"/>
      <c r="C113" s="88"/>
      <c r="D113" s="70"/>
      <c r="E113" s="70"/>
      <c r="F113" s="70"/>
      <c r="G113" s="70"/>
      <c r="H113" s="70"/>
      <c r="I113" s="70"/>
      <c r="J113" s="70"/>
      <c r="K113" s="88"/>
      <c r="L113" s="70"/>
      <c r="M113" s="70"/>
      <c r="N113" s="70"/>
      <c r="O113" s="89"/>
      <c r="V113" s="79"/>
    </row>
    <row r="114" spans="1:22" ht="25.5" customHeight="1" x14ac:dyDescent="0.2">
      <c r="B114" s="749" t="s">
        <v>203</v>
      </c>
      <c r="C114" s="787"/>
      <c r="D114" s="787"/>
      <c r="E114" s="787"/>
      <c r="F114" s="787"/>
      <c r="H114" s="81"/>
      <c r="J114" s="81"/>
      <c r="K114" s="88"/>
      <c r="L114" s="81"/>
      <c r="N114" s="227"/>
      <c r="R114" s="79" t="str">
        <f>IF(AND(($L112&gt;0),ISBLANK(B116)),B114,"NOT")</f>
        <v>NOT</v>
      </c>
    </row>
    <row r="115" spans="1:22" ht="3" customHeight="1" x14ac:dyDescent="0.2">
      <c r="B115" s="104"/>
      <c r="C115" s="88"/>
      <c r="D115" s="81"/>
      <c r="F115" s="81"/>
      <c r="H115" s="81"/>
      <c r="J115" s="81"/>
      <c r="K115" s="88"/>
      <c r="L115" s="81"/>
      <c r="N115" s="227"/>
    </row>
    <row r="116" spans="1:22" ht="60" customHeight="1" x14ac:dyDescent="0.2">
      <c r="B116" s="744"/>
      <c r="C116" s="745"/>
      <c r="D116" s="745"/>
      <c r="E116" s="745"/>
      <c r="F116" s="745"/>
      <c r="G116" s="745"/>
      <c r="H116" s="745"/>
      <c r="I116" s="745"/>
      <c r="J116" s="745"/>
      <c r="K116" s="745"/>
      <c r="L116" s="746"/>
      <c r="M116" s="70" t="s">
        <v>19</v>
      </c>
      <c r="N116" s="227"/>
    </row>
    <row r="117" spans="1:22" ht="3.75" customHeight="1" x14ac:dyDescent="0.2">
      <c r="B117" s="104"/>
      <c r="C117" s="88"/>
      <c r="D117" s="81"/>
      <c r="F117" s="81"/>
      <c r="H117" s="81"/>
      <c r="J117" s="81"/>
      <c r="K117" s="88"/>
      <c r="L117" s="81"/>
      <c r="N117" s="227"/>
    </row>
    <row r="118" spans="1:22" ht="25.5" x14ac:dyDescent="0.2">
      <c r="B118" s="244" t="s">
        <v>579</v>
      </c>
      <c r="C118" s="88"/>
      <c r="D118" s="244" t="s">
        <v>580</v>
      </c>
      <c r="F118" s="244" t="s">
        <v>205</v>
      </c>
      <c r="H118" s="244" t="s">
        <v>16</v>
      </c>
      <c r="J118" s="244" t="s">
        <v>15</v>
      </c>
      <c r="K118" s="245"/>
      <c r="L118" s="103" t="s">
        <v>141</v>
      </c>
      <c r="N118" s="81"/>
      <c r="R118" s="255" t="str">
        <f>IF(AND(R119="NOT",R120="NOT",R121="NOT",R122="NOT",R123="NOT",R124="NOT",R125="NOT",R126="NOT",R127="NOT",R128="NOT",R114="NOT"),"NOT",D112)</f>
        <v>NOT</v>
      </c>
      <c r="S118" s="255" t="str">
        <f>IF(AND(S119="NOT",S120="NOT",S121="NOT",S122="NOT",S123="NOT",S124="NOT",S125="NOT",S126="NOT",S127="NOT",S128="NOT",R114="NOT"),"NOT",D112)</f>
        <v>NOT</v>
      </c>
      <c r="T118" s="255" t="str">
        <f>IF(AND(T119="NOT",T120="NOT",T121="NOT",T122="NOT",T123="NOT",T124="NOT",T125="NOT",T126="NOT",T127="NOT",T128="NOT",R114="NOT"),"NOT",D112)</f>
        <v>NOT</v>
      </c>
    </row>
    <row r="119" spans="1:22" x14ac:dyDescent="0.2">
      <c r="B119" s="259"/>
      <c r="C119" s="88"/>
      <c r="D119" s="260"/>
      <c r="E119" s="243"/>
      <c r="F119" s="261"/>
      <c r="G119" s="243"/>
      <c r="H119" s="262"/>
      <c r="I119" s="243"/>
      <c r="J119" s="262"/>
      <c r="K119" s="88"/>
      <c r="L119" s="143">
        <f t="shared" ref="L119:L128" si="18">TRUNC(H119*J119,2)</f>
        <v>0</v>
      </c>
      <c r="N119" s="81"/>
      <c r="R119" s="79" t="str">
        <f t="shared" ref="R119:R128" si="19">IF(AND(($L119&gt;0),ISBLANK(B119)),B119,"NOT")</f>
        <v>NOT</v>
      </c>
      <c r="S119" s="79" t="str">
        <f t="shared" ref="S119:S128" si="20">IF(AND(($L119&gt;0),ISBLANK(D119)),D119,"NOT")</f>
        <v>NOT</v>
      </c>
      <c r="T119" s="79" t="str">
        <f t="shared" ref="T119:T128" si="21">IF(AND(($L119&gt;0),ISBLANK(F119)),F119,"NOT")</f>
        <v>NOT</v>
      </c>
      <c r="V119" s="79" t="str">
        <f t="shared" ref="V119:V128" si="22">LEFT(D119,3)</f>
        <v/>
      </c>
    </row>
    <row r="120" spans="1:22" x14ac:dyDescent="0.2">
      <c r="B120" s="259"/>
      <c r="C120" s="88"/>
      <c r="D120" s="260"/>
      <c r="E120" s="243"/>
      <c r="F120" s="261"/>
      <c r="G120" s="243"/>
      <c r="H120" s="262"/>
      <c r="I120" s="243"/>
      <c r="J120" s="262"/>
      <c r="K120" s="88"/>
      <c r="L120" s="143">
        <f t="shared" si="18"/>
        <v>0</v>
      </c>
      <c r="N120" s="81"/>
      <c r="R120" s="79" t="str">
        <f t="shared" si="19"/>
        <v>NOT</v>
      </c>
      <c r="S120" s="79" t="str">
        <f t="shared" si="20"/>
        <v>NOT</v>
      </c>
      <c r="T120" s="79" t="str">
        <f t="shared" si="21"/>
        <v>NOT</v>
      </c>
      <c r="V120" s="79" t="str">
        <f t="shared" si="22"/>
        <v/>
      </c>
    </row>
    <row r="121" spans="1:22" x14ac:dyDescent="0.2">
      <c r="B121" s="259"/>
      <c r="C121" s="88"/>
      <c r="D121" s="260"/>
      <c r="E121" s="243"/>
      <c r="F121" s="261"/>
      <c r="G121" s="243"/>
      <c r="H121" s="262"/>
      <c r="I121" s="243"/>
      <c r="J121" s="262"/>
      <c r="K121" s="88"/>
      <c r="L121" s="143">
        <f t="shared" si="18"/>
        <v>0</v>
      </c>
      <c r="N121" s="81"/>
      <c r="R121" s="79" t="str">
        <f t="shared" si="19"/>
        <v>NOT</v>
      </c>
      <c r="S121" s="79" t="str">
        <f t="shared" si="20"/>
        <v>NOT</v>
      </c>
      <c r="T121" s="79" t="str">
        <f t="shared" si="21"/>
        <v>NOT</v>
      </c>
      <c r="V121" s="79" t="str">
        <f t="shared" si="22"/>
        <v/>
      </c>
    </row>
    <row r="122" spans="1:22" x14ac:dyDescent="0.2">
      <c r="B122" s="259"/>
      <c r="C122" s="88"/>
      <c r="D122" s="260"/>
      <c r="E122" s="243"/>
      <c r="F122" s="261"/>
      <c r="G122" s="243"/>
      <c r="H122" s="262"/>
      <c r="I122" s="243"/>
      <c r="J122" s="262"/>
      <c r="K122" s="88"/>
      <c r="L122" s="143">
        <f t="shared" si="18"/>
        <v>0</v>
      </c>
      <c r="N122" s="81"/>
      <c r="R122" s="79" t="str">
        <f t="shared" si="19"/>
        <v>NOT</v>
      </c>
      <c r="S122" s="79" t="str">
        <f t="shared" si="20"/>
        <v>NOT</v>
      </c>
      <c r="T122" s="79" t="str">
        <f t="shared" si="21"/>
        <v>NOT</v>
      </c>
      <c r="V122" s="79" t="str">
        <f t="shared" si="22"/>
        <v/>
      </c>
    </row>
    <row r="123" spans="1:22" x14ac:dyDescent="0.2">
      <c r="B123" s="259"/>
      <c r="C123" s="88"/>
      <c r="D123" s="260"/>
      <c r="E123" s="243"/>
      <c r="F123" s="261"/>
      <c r="G123" s="243"/>
      <c r="H123" s="262"/>
      <c r="I123" s="243"/>
      <c r="J123" s="262"/>
      <c r="K123" s="88"/>
      <c r="L123" s="143">
        <f t="shared" si="18"/>
        <v>0</v>
      </c>
      <c r="N123" s="81"/>
      <c r="R123" s="79" t="str">
        <f t="shared" si="19"/>
        <v>NOT</v>
      </c>
      <c r="S123" s="79" t="str">
        <f t="shared" si="20"/>
        <v>NOT</v>
      </c>
      <c r="T123" s="79" t="str">
        <f t="shared" si="21"/>
        <v>NOT</v>
      </c>
      <c r="V123" s="79" t="str">
        <f t="shared" si="22"/>
        <v/>
      </c>
    </row>
    <row r="124" spans="1:22" x14ac:dyDescent="0.2">
      <c r="B124" s="259"/>
      <c r="C124" s="88"/>
      <c r="D124" s="260"/>
      <c r="E124" s="243"/>
      <c r="F124" s="261"/>
      <c r="G124" s="243"/>
      <c r="H124" s="262"/>
      <c r="I124" s="243"/>
      <c r="J124" s="262"/>
      <c r="K124" s="88"/>
      <c r="L124" s="143">
        <f t="shared" si="18"/>
        <v>0</v>
      </c>
      <c r="N124" s="81"/>
      <c r="R124" s="79" t="str">
        <f t="shared" si="19"/>
        <v>NOT</v>
      </c>
      <c r="S124" s="79" t="str">
        <f t="shared" si="20"/>
        <v>NOT</v>
      </c>
      <c r="T124" s="79" t="str">
        <f t="shared" si="21"/>
        <v>NOT</v>
      </c>
      <c r="V124" s="79" t="str">
        <f t="shared" si="22"/>
        <v/>
      </c>
    </row>
    <row r="125" spans="1:22" x14ac:dyDescent="0.2">
      <c r="B125" s="259"/>
      <c r="C125" s="88"/>
      <c r="D125" s="260"/>
      <c r="E125" s="243"/>
      <c r="F125" s="261"/>
      <c r="G125" s="243"/>
      <c r="H125" s="262"/>
      <c r="I125" s="243"/>
      <c r="J125" s="262"/>
      <c r="K125" s="88"/>
      <c r="L125" s="143">
        <f t="shared" si="18"/>
        <v>0</v>
      </c>
      <c r="N125" s="81"/>
      <c r="R125" s="79" t="str">
        <f t="shared" si="19"/>
        <v>NOT</v>
      </c>
      <c r="S125" s="79" t="str">
        <f t="shared" si="20"/>
        <v>NOT</v>
      </c>
      <c r="T125" s="79" t="str">
        <f t="shared" si="21"/>
        <v>NOT</v>
      </c>
      <c r="V125" s="79" t="str">
        <f t="shared" si="22"/>
        <v/>
      </c>
    </row>
    <row r="126" spans="1:22" x14ac:dyDescent="0.2">
      <c r="B126" s="259"/>
      <c r="C126" s="88"/>
      <c r="D126" s="260"/>
      <c r="E126" s="243"/>
      <c r="F126" s="261"/>
      <c r="G126" s="243"/>
      <c r="H126" s="262"/>
      <c r="I126" s="243"/>
      <c r="J126" s="262"/>
      <c r="K126" s="88"/>
      <c r="L126" s="143">
        <f t="shared" si="18"/>
        <v>0</v>
      </c>
      <c r="N126" s="81"/>
      <c r="R126" s="79" t="str">
        <f t="shared" si="19"/>
        <v>NOT</v>
      </c>
      <c r="S126" s="79" t="str">
        <f t="shared" si="20"/>
        <v>NOT</v>
      </c>
      <c r="T126" s="79" t="str">
        <f t="shared" si="21"/>
        <v>NOT</v>
      </c>
      <c r="V126" s="79" t="str">
        <f t="shared" si="22"/>
        <v/>
      </c>
    </row>
    <row r="127" spans="1:22" x14ac:dyDescent="0.2">
      <c r="B127" s="259"/>
      <c r="C127" s="88"/>
      <c r="D127" s="260"/>
      <c r="E127" s="243"/>
      <c r="F127" s="261"/>
      <c r="G127" s="243"/>
      <c r="H127" s="262"/>
      <c r="I127" s="243"/>
      <c r="J127" s="262"/>
      <c r="K127" s="88"/>
      <c r="L127" s="143">
        <f t="shared" si="18"/>
        <v>0</v>
      </c>
      <c r="N127" s="81"/>
      <c r="R127" s="79" t="str">
        <f t="shared" si="19"/>
        <v>NOT</v>
      </c>
      <c r="S127" s="79" t="str">
        <f t="shared" si="20"/>
        <v>NOT</v>
      </c>
      <c r="T127" s="79" t="str">
        <f t="shared" si="21"/>
        <v>NOT</v>
      </c>
      <c r="V127" s="79" t="str">
        <f t="shared" si="22"/>
        <v/>
      </c>
    </row>
    <row r="128" spans="1:22" x14ac:dyDescent="0.2">
      <c r="B128" s="259"/>
      <c r="C128" s="88"/>
      <c r="D128" s="260"/>
      <c r="E128" s="243"/>
      <c r="F128" s="261"/>
      <c r="G128" s="243"/>
      <c r="H128" s="262"/>
      <c r="I128" s="243"/>
      <c r="J128" s="262"/>
      <c r="K128" s="88"/>
      <c r="L128" s="143">
        <f t="shared" si="18"/>
        <v>0</v>
      </c>
      <c r="N128" s="81"/>
      <c r="R128" s="79" t="str">
        <f t="shared" si="19"/>
        <v>NOT</v>
      </c>
      <c r="S128" s="79" t="str">
        <f t="shared" si="20"/>
        <v>NOT</v>
      </c>
      <c r="T128" s="79" t="str">
        <f t="shared" si="21"/>
        <v>NOT</v>
      </c>
      <c r="V128" s="79" t="str">
        <f t="shared" si="22"/>
        <v/>
      </c>
    </row>
    <row r="129" spans="1:22" s="76" customFormat="1" ht="12.75" customHeight="1" x14ac:dyDescent="0.2">
      <c r="A129" s="87"/>
      <c r="B129" s="88"/>
      <c r="C129" s="88"/>
      <c r="D129" s="70"/>
      <c r="E129" s="70"/>
      <c r="F129" s="70"/>
      <c r="G129" s="70"/>
      <c r="H129" s="70"/>
      <c r="I129" s="70"/>
      <c r="J129" s="70"/>
      <c r="K129" s="88"/>
      <c r="L129" s="70"/>
      <c r="M129" s="70"/>
      <c r="N129" s="70"/>
      <c r="O129" s="89"/>
      <c r="V129" s="79"/>
    </row>
    <row r="130" spans="1:22" ht="28.5" customHeight="1" x14ac:dyDescent="0.2">
      <c r="A130" s="276"/>
      <c r="B130" s="278" t="s">
        <v>295</v>
      </c>
      <c r="C130" s="277"/>
      <c r="D130" s="747" t="s">
        <v>166</v>
      </c>
      <c r="E130" s="748"/>
      <c r="F130" s="748"/>
      <c r="G130" s="748"/>
      <c r="H130" s="748"/>
      <c r="I130" s="279"/>
      <c r="J130" s="280" t="s">
        <v>18</v>
      </c>
      <c r="K130" s="88"/>
      <c r="L130" s="156">
        <f>SUM(L137:L146)</f>
        <v>0</v>
      </c>
      <c r="M130" s="246"/>
      <c r="N130" s="147">
        <f>IF(L130=0,0%,L130/L$8)</f>
        <v>0</v>
      </c>
      <c r="O130" s="495">
        <f>IF(LEN(R130)&gt;3,1,0)</f>
        <v>0</v>
      </c>
      <c r="R130" s="79" t="str">
        <f>IF(AND(R136="NOT",S136="NOT",T136="NOT"),"NOT",D130)</f>
        <v>NOT</v>
      </c>
    </row>
    <row r="131" spans="1:22" s="76" customFormat="1" ht="3" customHeight="1" x14ac:dyDescent="0.2">
      <c r="A131" s="87"/>
      <c r="B131" s="88"/>
      <c r="C131" s="88"/>
      <c r="D131" s="70"/>
      <c r="E131" s="70"/>
      <c r="F131" s="70"/>
      <c r="G131" s="70"/>
      <c r="H131" s="70"/>
      <c r="I131" s="70"/>
      <c r="J131" s="70"/>
      <c r="K131" s="88"/>
      <c r="L131" s="70"/>
      <c r="M131" s="70"/>
      <c r="N131" s="70"/>
      <c r="O131" s="89"/>
      <c r="V131" s="79"/>
    </row>
    <row r="132" spans="1:22" ht="27.75" customHeight="1" x14ac:dyDescent="0.2">
      <c r="B132" s="742" t="s">
        <v>198</v>
      </c>
      <c r="C132" s="743"/>
      <c r="D132" s="743"/>
      <c r="E132" s="743"/>
      <c r="F132" s="743"/>
      <c r="H132" s="81"/>
      <c r="J132" s="81"/>
      <c r="K132" s="88"/>
      <c r="L132" s="81"/>
      <c r="N132" s="227"/>
      <c r="R132" s="79" t="str">
        <f>IF(AND(($L130&gt;0),ISBLANK(B134)),B132,"NOT")</f>
        <v>NOT</v>
      </c>
    </row>
    <row r="133" spans="1:22" ht="3" customHeight="1" x14ac:dyDescent="0.2">
      <c r="B133" s="104"/>
      <c r="C133" s="88"/>
      <c r="D133" s="81"/>
      <c r="F133" s="81"/>
      <c r="H133" s="81"/>
      <c r="J133" s="81"/>
      <c r="K133" s="88"/>
      <c r="L133" s="81"/>
      <c r="N133" s="227"/>
    </row>
    <row r="134" spans="1:22" ht="81" customHeight="1" x14ac:dyDescent="0.2">
      <c r="B134" s="744"/>
      <c r="C134" s="745"/>
      <c r="D134" s="745"/>
      <c r="E134" s="745"/>
      <c r="F134" s="745"/>
      <c r="G134" s="745"/>
      <c r="H134" s="745"/>
      <c r="I134" s="745"/>
      <c r="J134" s="745"/>
      <c r="K134" s="745"/>
      <c r="L134" s="746"/>
      <c r="M134" s="70" t="s">
        <v>19</v>
      </c>
      <c r="N134" s="227"/>
    </row>
    <row r="135" spans="1:22" ht="3.75" customHeight="1" x14ac:dyDescent="0.2">
      <c r="B135" s="104"/>
      <c r="C135" s="88"/>
      <c r="D135" s="81"/>
      <c r="F135" s="81"/>
      <c r="H135" s="81"/>
      <c r="J135" s="81"/>
      <c r="K135" s="88"/>
      <c r="L135" s="81"/>
      <c r="N135" s="227"/>
    </row>
    <row r="136" spans="1:22" ht="38.25" x14ac:dyDescent="0.2">
      <c r="B136" s="244" t="s">
        <v>199</v>
      </c>
      <c r="C136" s="88"/>
      <c r="D136" s="244" t="s">
        <v>580</v>
      </c>
      <c r="F136" s="244" t="s">
        <v>205</v>
      </c>
      <c r="H136" s="244" t="s">
        <v>16</v>
      </c>
      <c r="J136" s="244" t="s">
        <v>15</v>
      </c>
      <c r="K136" s="245"/>
      <c r="L136" s="103" t="s">
        <v>141</v>
      </c>
      <c r="N136" s="81"/>
      <c r="R136" s="255" t="str">
        <f>IF(AND(R137="NOT",R138="NOT",R139="NOT",R140="NOT",R141="NOT",R142="NOT",R143="NOT",R144="NOT",R145="NOT",R146="NOT",R132="NOT"),"NOT",D130)</f>
        <v>NOT</v>
      </c>
      <c r="S136" s="255" t="str">
        <f>IF(AND(S137="NOT",S138="NOT",S139="NOT",S140="NOT",S141="NOT",S142="NOT",S143="NOT",S144="NOT",S145="NOT",S146="NOT",R132="NOT"),"NOT",D130)</f>
        <v>NOT</v>
      </c>
      <c r="T136" s="255" t="str">
        <f>IF(AND(T137="NOT",T138="NOT",T139="NOT",T140="NOT",T141="NOT",T142="NOT",T143="NOT",T144="NOT",T145="NOT",T146="NOT",R132="NOT"),"NOT",D130)</f>
        <v>NOT</v>
      </c>
    </row>
    <row r="137" spans="1:22" x14ac:dyDescent="0.2">
      <c r="B137" s="259"/>
      <c r="C137" s="88"/>
      <c r="D137" s="260"/>
      <c r="E137" s="243"/>
      <c r="F137" s="261"/>
      <c r="G137" s="243"/>
      <c r="H137" s="262"/>
      <c r="I137" s="243"/>
      <c r="J137" s="262"/>
      <c r="K137" s="88"/>
      <c r="L137" s="143">
        <f t="shared" ref="L137:L146" si="23">TRUNC(H137*J137,2)</f>
        <v>0</v>
      </c>
      <c r="N137" s="81"/>
      <c r="R137" s="79" t="str">
        <f t="shared" ref="R137:R146" si="24">IF(AND(($L137&gt;0),ISBLANK(B137)),B137,"NOT")</f>
        <v>NOT</v>
      </c>
      <c r="S137" s="79" t="str">
        <f t="shared" ref="S137:S146" si="25">IF(AND(($L137&gt;0),ISBLANK(D137)),D137,"NOT")</f>
        <v>NOT</v>
      </c>
      <c r="T137" s="79" t="str">
        <f t="shared" ref="T137:T146" si="26">IF(AND(($L137&gt;0),ISBLANK(F137)),F137,"NOT")</f>
        <v>NOT</v>
      </c>
      <c r="V137" s="79" t="str">
        <f t="shared" ref="V137:V160" si="27">LEFT(D137,3)</f>
        <v/>
      </c>
    </row>
    <row r="138" spans="1:22" x14ac:dyDescent="0.2">
      <c r="B138" s="259"/>
      <c r="C138" s="88"/>
      <c r="D138" s="260"/>
      <c r="E138" s="243"/>
      <c r="F138" s="261"/>
      <c r="G138" s="243"/>
      <c r="H138" s="262"/>
      <c r="I138" s="243"/>
      <c r="J138" s="262"/>
      <c r="K138" s="88"/>
      <c r="L138" s="143">
        <f t="shared" si="23"/>
        <v>0</v>
      </c>
      <c r="N138" s="81"/>
      <c r="R138" s="79" t="str">
        <f t="shared" si="24"/>
        <v>NOT</v>
      </c>
      <c r="S138" s="79" t="str">
        <f t="shared" si="25"/>
        <v>NOT</v>
      </c>
      <c r="T138" s="79" t="str">
        <f t="shared" si="26"/>
        <v>NOT</v>
      </c>
      <c r="V138" s="79" t="str">
        <f t="shared" si="27"/>
        <v/>
      </c>
    </row>
    <row r="139" spans="1:22" x14ac:dyDescent="0.2">
      <c r="B139" s="259"/>
      <c r="C139" s="88"/>
      <c r="D139" s="260"/>
      <c r="E139" s="243"/>
      <c r="F139" s="261"/>
      <c r="G139" s="243"/>
      <c r="H139" s="262"/>
      <c r="I139" s="243"/>
      <c r="J139" s="262"/>
      <c r="K139" s="88"/>
      <c r="L139" s="143">
        <f t="shared" si="23"/>
        <v>0</v>
      </c>
      <c r="N139" s="81"/>
      <c r="R139" s="79" t="str">
        <f t="shared" si="24"/>
        <v>NOT</v>
      </c>
      <c r="S139" s="79" t="str">
        <f t="shared" si="25"/>
        <v>NOT</v>
      </c>
      <c r="T139" s="79" t="str">
        <f t="shared" si="26"/>
        <v>NOT</v>
      </c>
      <c r="V139" s="79" t="str">
        <f t="shared" si="27"/>
        <v/>
      </c>
    </row>
    <row r="140" spans="1:22" x14ac:dyDescent="0.2">
      <c r="B140" s="259"/>
      <c r="C140" s="88"/>
      <c r="D140" s="260"/>
      <c r="E140" s="243"/>
      <c r="F140" s="261"/>
      <c r="G140" s="243"/>
      <c r="H140" s="262"/>
      <c r="I140" s="243"/>
      <c r="J140" s="262"/>
      <c r="K140" s="88"/>
      <c r="L140" s="143">
        <f t="shared" si="23"/>
        <v>0</v>
      </c>
      <c r="N140" s="81"/>
      <c r="R140" s="79" t="str">
        <f t="shared" si="24"/>
        <v>NOT</v>
      </c>
      <c r="S140" s="79" t="str">
        <f t="shared" si="25"/>
        <v>NOT</v>
      </c>
      <c r="T140" s="79" t="str">
        <f t="shared" si="26"/>
        <v>NOT</v>
      </c>
      <c r="V140" s="79" t="str">
        <f t="shared" si="27"/>
        <v/>
      </c>
    </row>
    <row r="141" spans="1:22" x14ac:dyDescent="0.2">
      <c r="B141" s="259"/>
      <c r="C141" s="88"/>
      <c r="D141" s="260"/>
      <c r="E141" s="243"/>
      <c r="F141" s="261"/>
      <c r="G141" s="243"/>
      <c r="H141" s="262"/>
      <c r="I141" s="243"/>
      <c r="J141" s="262"/>
      <c r="K141" s="88"/>
      <c r="L141" s="143">
        <f t="shared" si="23"/>
        <v>0</v>
      </c>
      <c r="N141" s="81"/>
      <c r="R141" s="79" t="str">
        <f t="shared" si="24"/>
        <v>NOT</v>
      </c>
      <c r="S141" s="79" t="str">
        <f t="shared" si="25"/>
        <v>NOT</v>
      </c>
      <c r="T141" s="79" t="str">
        <f t="shared" si="26"/>
        <v>NOT</v>
      </c>
      <c r="V141" s="79" t="str">
        <f t="shared" si="27"/>
        <v/>
      </c>
    </row>
    <row r="142" spans="1:22" x14ac:dyDescent="0.2">
      <c r="B142" s="259"/>
      <c r="C142" s="88"/>
      <c r="D142" s="260"/>
      <c r="E142" s="243"/>
      <c r="F142" s="261"/>
      <c r="G142" s="243"/>
      <c r="H142" s="262"/>
      <c r="I142" s="243"/>
      <c r="J142" s="262"/>
      <c r="K142" s="88"/>
      <c r="L142" s="143">
        <f t="shared" si="23"/>
        <v>0</v>
      </c>
      <c r="N142" s="81"/>
      <c r="R142" s="79" t="str">
        <f t="shared" si="24"/>
        <v>NOT</v>
      </c>
      <c r="S142" s="79" t="str">
        <f t="shared" si="25"/>
        <v>NOT</v>
      </c>
      <c r="T142" s="79" t="str">
        <f t="shared" si="26"/>
        <v>NOT</v>
      </c>
      <c r="V142" s="79" t="str">
        <f t="shared" si="27"/>
        <v/>
      </c>
    </row>
    <row r="143" spans="1:22" x14ac:dyDescent="0.2">
      <c r="B143" s="259"/>
      <c r="C143" s="88"/>
      <c r="D143" s="260"/>
      <c r="E143" s="243"/>
      <c r="F143" s="261"/>
      <c r="G143" s="243"/>
      <c r="H143" s="262"/>
      <c r="I143" s="243"/>
      <c r="J143" s="262"/>
      <c r="K143" s="88"/>
      <c r="L143" s="143">
        <f t="shared" si="23"/>
        <v>0</v>
      </c>
      <c r="N143" s="81"/>
      <c r="R143" s="79" t="str">
        <f t="shared" si="24"/>
        <v>NOT</v>
      </c>
      <c r="S143" s="79" t="str">
        <f t="shared" si="25"/>
        <v>NOT</v>
      </c>
      <c r="T143" s="79" t="str">
        <f t="shared" si="26"/>
        <v>NOT</v>
      </c>
      <c r="V143" s="79" t="str">
        <f t="shared" si="27"/>
        <v/>
      </c>
    </row>
    <row r="144" spans="1:22" x14ac:dyDescent="0.2">
      <c r="B144" s="259"/>
      <c r="C144" s="88"/>
      <c r="D144" s="260"/>
      <c r="E144" s="243"/>
      <c r="F144" s="261"/>
      <c r="G144" s="243"/>
      <c r="H144" s="262"/>
      <c r="I144" s="243"/>
      <c r="J144" s="262"/>
      <c r="K144" s="88"/>
      <c r="L144" s="143">
        <f t="shared" si="23"/>
        <v>0</v>
      </c>
      <c r="N144" s="81"/>
      <c r="R144" s="79" t="str">
        <f t="shared" si="24"/>
        <v>NOT</v>
      </c>
      <c r="S144" s="79" t="str">
        <f t="shared" si="25"/>
        <v>NOT</v>
      </c>
      <c r="T144" s="79" t="str">
        <f t="shared" si="26"/>
        <v>NOT</v>
      </c>
      <c r="V144" s="79" t="str">
        <f t="shared" si="27"/>
        <v/>
      </c>
    </row>
    <row r="145" spans="1:22" x14ac:dyDescent="0.2">
      <c r="B145" s="259"/>
      <c r="C145" s="88"/>
      <c r="D145" s="260"/>
      <c r="E145" s="243"/>
      <c r="F145" s="261"/>
      <c r="G145" s="243"/>
      <c r="H145" s="262"/>
      <c r="I145" s="243"/>
      <c r="J145" s="262"/>
      <c r="K145" s="88"/>
      <c r="L145" s="143">
        <f t="shared" si="23"/>
        <v>0</v>
      </c>
      <c r="N145" s="81"/>
      <c r="R145" s="79" t="str">
        <f t="shared" si="24"/>
        <v>NOT</v>
      </c>
      <c r="S145" s="79" t="str">
        <f t="shared" si="25"/>
        <v>NOT</v>
      </c>
      <c r="T145" s="79" t="str">
        <f t="shared" si="26"/>
        <v>NOT</v>
      </c>
      <c r="V145" s="79" t="str">
        <f t="shared" si="27"/>
        <v/>
      </c>
    </row>
    <row r="146" spans="1:22" x14ac:dyDescent="0.2">
      <c r="B146" s="259"/>
      <c r="C146" s="88"/>
      <c r="D146" s="260"/>
      <c r="E146" s="243"/>
      <c r="F146" s="261"/>
      <c r="G146" s="243"/>
      <c r="H146" s="262"/>
      <c r="I146" s="243"/>
      <c r="J146" s="262"/>
      <c r="K146" s="88"/>
      <c r="L146" s="143">
        <f t="shared" si="23"/>
        <v>0</v>
      </c>
      <c r="N146" s="81"/>
      <c r="R146" s="79" t="str">
        <f t="shared" si="24"/>
        <v>NOT</v>
      </c>
      <c r="S146" s="79" t="str">
        <f t="shared" si="25"/>
        <v>NOT</v>
      </c>
      <c r="T146" s="79" t="str">
        <f t="shared" si="26"/>
        <v>NOT</v>
      </c>
      <c r="V146" s="79" t="str">
        <f t="shared" si="27"/>
        <v/>
      </c>
    </row>
    <row r="147" spans="1:22" s="76" customFormat="1" x14ac:dyDescent="0.2">
      <c r="A147" s="87"/>
      <c r="B147" s="88"/>
      <c r="C147" s="88"/>
      <c r="D147" s="70"/>
      <c r="E147" s="70"/>
      <c r="F147" s="70"/>
      <c r="G147" s="70"/>
      <c r="H147" s="70"/>
      <c r="I147" s="70"/>
      <c r="J147" s="70"/>
      <c r="K147" s="88"/>
      <c r="L147" s="70"/>
      <c r="M147" s="70"/>
      <c r="N147" s="70"/>
      <c r="O147" s="89"/>
      <c r="V147" s="79"/>
    </row>
    <row r="148" spans="1:22" ht="28.5" customHeight="1" x14ac:dyDescent="0.2">
      <c r="A148" s="276"/>
      <c r="B148" s="278" t="s">
        <v>293</v>
      </c>
      <c r="C148" s="277"/>
      <c r="D148" s="747" t="s">
        <v>166</v>
      </c>
      <c r="E148" s="748"/>
      <c r="F148" s="748"/>
      <c r="G148" s="748"/>
      <c r="H148" s="748"/>
      <c r="I148" s="279"/>
      <c r="J148" s="280" t="s">
        <v>18</v>
      </c>
      <c r="K148" s="88"/>
      <c r="L148" s="156">
        <f>SUM(L155:L160)</f>
        <v>0</v>
      </c>
      <c r="M148" s="246"/>
      <c r="N148" s="147">
        <f>IF(L148=0,0%,L148/L$8)</f>
        <v>0</v>
      </c>
      <c r="O148" s="495">
        <f>IF(LEN(R148)&gt;3,1,0)</f>
        <v>0</v>
      </c>
      <c r="R148" s="79" t="str">
        <f>IF(AND(R154="NOT",S154="NOT",T154="NOT"),"NOT",D148)</f>
        <v>NOT</v>
      </c>
    </row>
    <row r="149" spans="1:22" s="76" customFormat="1" ht="3" customHeight="1" x14ac:dyDescent="0.2">
      <c r="A149" s="87"/>
      <c r="B149" s="788"/>
      <c r="C149" s="789"/>
      <c r="D149" s="789"/>
      <c r="E149" s="789"/>
      <c r="F149" s="789"/>
      <c r="G149" s="789"/>
      <c r="H149" s="789"/>
      <c r="I149" s="789"/>
      <c r="J149" s="789"/>
      <c r="K149" s="789"/>
      <c r="L149" s="789"/>
      <c r="M149" s="70"/>
      <c r="N149" s="70"/>
      <c r="O149" s="353"/>
      <c r="P149" s="270"/>
      <c r="Q149" s="231" t="str">
        <f>IF(N148&gt;O149,B149,"")</f>
        <v/>
      </c>
      <c r="V149" s="79"/>
    </row>
    <row r="150" spans="1:22" x14ac:dyDescent="0.2">
      <c r="B150" s="742" t="s">
        <v>197</v>
      </c>
      <c r="C150" s="743"/>
      <c r="D150" s="743"/>
      <c r="E150" s="743"/>
      <c r="F150" s="743"/>
      <c r="H150" s="81"/>
      <c r="J150" s="81"/>
      <c r="K150" s="88"/>
      <c r="L150" s="81"/>
      <c r="N150" s="227"/>
      <c r="R150" s="79" t="str">
        <f>IF(AND(($L148&gt;0),ISBLANK(B152)),B150,"NOT")</f>
        <v>NOT</v>
      </c>
    </row>
    <row r="151" spans="1:22" ht="3" customHeight="1" x14ac:dyDescent="0.2">
      <c r="B151" s="104"/>
      <c r="C151" s="88"/>
      <c r="D151" s="81"/>
      <c r="F151" s="81"/>
      <c r="H151" s="81"/>
      <c r="J151" s="81"/>
      <c r="K151" s="88"/>
      <c r="L151" s="81"/>
      <c r="N151" s="227"/>
    </row>
    <row r="152" spans="1:22" ht="60" customHeight="1" x14ac:dyDescent="0.2">
      <c r="B152" s="744"/>
      <c r="C152" s="745"/>
      <c r="D152" s="745"/>
      <c r="E152" s="745"/>
      <c r="F152" s="745"/>
      <c r="G152" s="745"/>
      <c r="H152" s="745"/>
      <c r="I152" s="745"/>
      <c r="J152" s="745"/>
      <c r="K152" s="745"/>
      <c r="L152" s="746"/>
      <c r="M152" s="70" t="s">
        <v>19</v>
      </c>
      <c r="N152" s="227"/>
    </row>
    <row r="153" spans="1:22" ht="3.75" customHeight="1" x14ac:dyDescent="0.2">
      <c r="B153" s="104"/>
      <c r="C153" s="88"/>
      <c r="D153" s="81"/>
      <c r="F153" s="81"/>
      <c r="H153" s="81"/>
      <c r="J153" s="81"/>
      <c r="K153" s="88"/>
      <c r="L153" s="81"/>
      <c r="N153" s="227"/>
    </row>
    <row r="154" spans="1:22" ht="25.5" x14ac:dyDescent="0.2">
      <c r="B154" s="244" t="s">
        <v>202</v>
      </c>
      <c r="C154" s="88"/>
      <c r="D154" s="244" t="s">
        <v>580</v>
      </c>
      <c r="F154" s="244" t="s">
        <v>205</v>
      </c>
      <c r="H154" s="244" t="s">
        <v>16</v>
      </c>
      <c r="J154" s="244" t="s">
        <v>15</v>
      </c>
      <c r="K154" s="245"/>
      <c r="L154" s="103" t="s">
        <v>141</v>
      </c>
      <c r="N154" s="81"/>
      <c r="R154" s="255" t="str">
        <f>IF(AND(R155="NOT",R156="NOT",R157="NOT",R158="NOT",R159="NOT",R160="NOT",R150="NOT"),"NOT",D148)</f>
        <v>NOT</v>
      </c>
      <c r="S154" s="255" t="str">
        <f>IF(AND(S155="NOT",S156="NOT",S157="NOT",S158="NOT",S159="NOT",S160="NOT",R150="NOT"),"NOT",D148)</f>
        <v>NOT</v>
      </c>
      <c r="T154" s="255" t="str">
        <f>IF(AND(T155="NOT",T156="NOT",T157="NOT",T158="NOT",T159="NOT",T160="NOT",R150="NOT"),"NOT",D148)</f>
        <v>NOT</v>
      </c>
    </row>
    <row r="155" spans="1:22" x14ac:dyDescent="0.2">
      <c r="B155" s="259"/>
      <c r="C155" s="88"/>
      <c r="D155" s="260"/>
      <c r="E155" s="243"/>
      <c r="F155" s="261"/>
      <c r="G155" s="243"/>
      <c r="H155" s="262"/>
      <c r="I155" s="243"/>
      <c r="J155" s="262"/>
      <c r="K155" s="88"/>
      <c r="L155" s="143">
        <f t="shared" ref="L155:L160" si="28">TRUNC(H155*J155,2)</f>
        <v>0</v>
      </c>
      <c r="N155" s="81"/>
      <c r="R155" s="79" t="str">
        <f t="shared" ref="R155:R160" si="29">IF(AND(($L155&gt;0),ISBLANK(B155)),B155,"NOT")</f>
        <v>NOT</v>
      </c>
      <c r="S155" s="79" t="str">
        <f t="shared" ref="S155:S160" si="30">IF(AND(($L155&gt;0),ISBLANK(D155)),D155,"NOT")</f>
        <v>NOT</v>
      </c>
      <c r="T155" s="79" t="str">
        <f t="shared" ref="T155:T160" si="31">IF(AND(($L155&gt;0),ISBLANK(F155)),F155,"NOT")</f>
        <v>NOT</v>
      </c>
      <c r="V155" s="79" t="str">
        <f t="shared" si="27"/>
        <v/>
      </c>
    </row>
    <row r="156" spans="1:22" x14ac:dyDescent="0.2">
      <c r="B156" s="259"/>
      <c r="C156" s="88"/>
      <c r="D156" s="260"/>
      <c r="E156" s="243"/>
      <c r="F156" s="261"/>
      <c r="G156" s="243"/>
      <c r="H156" s="262"/>
      <c r="I156" s="243"/>
      <c r="J156" s="262"/>
      <c r="K156" s="88"/>
      <c r="L156" s="143">
        <f t="shared" si="28"/>
        <v>0</v>
      </c>
      <c r="N156" s="81"/>
      <c r="R156" s="79" t="str">
        <f t="shared" si="29"/>
        <v>NOT</v>
      </c>
      <c r="S156" s="79" t="str">
        <f t="shared" si="30"/>
        <v>NOT</v>
      </c>
      <c r="T156" s="79" t="str">
        <f t="shared" si="31"/>
        <v>NOT</v>
      </c>
      <c r="V156" s="79" t="str">
        <f t="shared" si="27"/>
        <v/>
      </c>
    </row>
    <row r="157" spans="1:22" x14ac:dyDescent="0.2">
      <c r="B157" s="259"/>
      <c r="C157" s="88"/>
      <c r="D157" s="260"/>
      <c r="E157" s="243"/>
      <c r="F157" s="261"/>
      <c r="G157" s="243"/>
      <c r="H157" s="262"/>
      <c r="I157" s="243"/>
      <c r="J157" s="262"/>
      <c r="K157" s="88"/>
      <c r="L157" s="143">
        <f t="shared" si="28"/>
        <v>0</v>
      </c>
      <c r="N157" s="81"/>
      <c r="R157" s="79" t="str">
        <f t="shared" si="29"/>
        <v>NOT</v>
      </c>
      <c r="S157" s="79" t="str">
        <f t="shared" si="30"/>
        <v>NOT</v>
      </c>
      <c r="T157" s="79" t="str">
        <f t="shared" si="31"/>
        <v>NOT</v>
      </c>
      <c r="V157" s="79" t="str">
        <f t="shared" si="27"/>
        <v/>
      </c>
    </row>
    <row r="158" spans="1:22" x14ac:dyDescent="0.2">
      <c r="B158" s="259"/>
      <c r="C158" s="88"/>
      <c r="D158" s="260"/>
      <c r="E158" s="243"/>
      <c r="F158" s="261"/>
      <c r="G158" s="243"/>
      <c r="H158" s="262"/>
      <c r="I158" s="243"/>
      <c r="J158" s="262"/>
      <c r="K158" s="88"/>
      <c r="L158" s="143">
        <f t="shared" si="28"/>
        <v>0</v>
      </c>
      <c r="N158" s="81"/>
      <c r="R158" s="79" t="str">
        <f t="shared" si="29"/>
        <v>NOT</v>
      </c>
      <c r="S158" s="79" t="str">
        <f t="shared" si="30"/>
        <v>NOT</v>
      </c>
      <c r="T158" s="79" t="str">
        <f t="shared" si="31"/>
        <v>NOT</v>
      </c>
      <c r="V158" s="79" t="str">
        <f t="shared" si="27"/>
        <v/>
      </c>
    </row>
    <row r="159" spans="1:22" x14ac:dyDescent="0.2">
      <c r="B159" s="259"/>
      <c r="C159" s="88"/>
      <c r="D159" s="260"/>
      <c r="E159" s="243"/>
      <c r="F159" s="261"/>
      <c r="G159" s="243"/>
      <c r="H159" s="262"/>
      <c r="I159" s="243"/>
      <c r="J159" s="262"/>
      <c r="K159" s="88"/>
      <c r="L159" s="143">
        <f t="shared" si="28"/>
        <v>0</v>
      </c>
      <c r="N159" s="81"/>
      <c r="R159" s="79" t="str">
        <f t="shared" si="29"/>
        <v>NOT</v>
      </c>
      <c r="S159" s="79" t="str">
        <f t="shared" si="30"/>
        <v>NOT</v>
      </c>
      <c r="T159" s="79" t="str">
        <f t="shared" si="31"/>
        <v>NOT</v>
      </c>
      <c r="V159" s="79" t="str">
        <f t="shared" si="27"/>
        <v/>
      </c>
    </row>
    <row r="160" spans="1:22" x14ac:dyDescent="0.2">
      <c r="B160" s="259"/>
      <c r="C160" s="88"/>
      <c r="D160" s="260"/>
      <c r="E160" s="243"/>
      <c r="F160" s="261"/>
      <c r="G160" s="243"/>
      <c r="H160" s="262"/>
      <c r="I160" s="243"/>
      <c r="J160" s="262"/>
      <c r="K160" s="88"/>
      <c r="L160" s="143">
        <f t="shared" si="28"/>
        <v>0</v>
      </c>
      <c r="N160" s="81"/>
      <c r="R160" s="79" t="str">
        <f t="shared" si="29"/>
        <v>NOT</v>
      </c>
      <c r="S160" s="79" t="str">
        <f t="shared" si="30"/>
        <v>NOT</v>
      </c>
      <c r="T160" s="79" t="str">
        <f t="shared" si="31"/>
        <v>NOT</v>
      </c>
      <c r="V160" s="79" t="str">
        <f t="shared" si="27"/>
        <v/>
      </c>
    </row>
    <row r="161" spans="1:22" s="76" customFormat="1" ht="12.75" customHeight="1" x14ac:dyDescent="0.2">
      <c r="A161" s="87"/>
      <c r="B161" s="88"/>
      <c r="C161" s="88"/>
      <c r="D161" s="70"/>
      <c r="E161" s="70"/>
      <c r="F161" s="70"/>
      <c r="G161" s="70"/>
      <c r="H161" s="70"/>
      <c r="I161" s="70"/>
      <c r="J161" s="70"/>
      <c r="K161" s="88"/>
      <c r="L161" s="70"/>
      <c r="M161" s="70"/>
      <c r="N161" s="70"/>
      <c r="O161" s="89"/>
      <c r="V161" s="79"/>
    </row>
    <row r="162" spans="1:22" ht="28.5" customHeight="1" x14ac:dyDescent="0.2">
      <c r="A162" s="276"/>
      <c r="B162" s="278" t="s">
        <v>294</v>
      </c>
      <c r="C162" s="277"/>
      <c r="D162" s="747" t="s">
        <v>166</v>
      </c>
      <c r="E162" s="748"/>
      <c r="F162" s="748"/>
      <c r="G162" s="748"/>
      <c r="H162" s="748"/>
      <c r="I162" s="279"/>
      <c r="J162" s="280" t="s">
        <v>18</v>
      </c>
      <c r="K162" s="88"/>
      <c r="L162" s="156">
        <f>SUM(L169:L172)</f>
        <v>0</v>
      </c>
      <c r="M162" s="246"/>
      <c r="N162" s="147">
        <f>IF(L162=0,0%,L162/L$8)</f>
        <v>0</v>
      </c>
      <c r="O162" s="495">
        <f>IF(LEN(R162)&gt;3,1,0)</f>
        <v>0</v>
      </c>
      <c r="R162" s="79" t="str">
        <f>IF(AND(R168="NOT",S168="NOT",T168="NOT"),"NOT",D162)</f>
        <v>NOT</v>
      </c>
    </row>
    <row r="163" spans="1:22" s="76" customFormat="1" ht="3" customHeight="1" x14ac:dyDescent="0.2">
      <c r="A163" s="87"/>
      <c r="B163" s="88"/>
      <c r="C163" s="88"/>
      <c r="D163" s="70"/>
      <c r="E163" s="70"/>
      <c r="F163" s="70"/>
      <c r="G163" s="70"/>
      <c r="H163" s="70"/>
      <c r="I163" s="70"/>
      <c r="J163" s="70"/>
      <c r="K163" s="88"/>
      <c r="L163" s="70"/>
      <c r="M163" s="70"/>
      <c r="N163" s="70"/>
      <c r="O163" s="89"/>
      <c r="V163" s="79"/>
    </row>
    <row r="164" spans="1:22" x14ac:dyDescent="0.2">
      <c r="B164" s="742" t="s">
        <v>197</v>
      </c>
      <c r="C164" s="743"/>
      <c r="D164" s="743"/>
      <c r="E164" s="743"/>
      <c r="F164" s="743"/>
      <c r="H164" s="81"/>
      <c r="J164" s="81"/>
      <c r="K164" s="88"/>
      <c r="L164" s="81"/>
      <c r="N164" s="227"/>
      <c r="R164" s="79" t="str">
        <f>IF(AND(($L162&gt;0),ISBLANK(B166)),B164,"NOT")</f>
        <v>NOT</v>
      </c>
    </row>
    <row r="165" spans="1:22" ht="3" customHeight="1" x14ac:dyDescent="0.2">
      <c r="B165" s="104"/>
      <c r="C165" s="88"/>
      <c r="D165" s="81"/>
      <c r="F165" s="81"/>
      <c r="H165" s="81"/>
      <c r="J165" s="81"/>
      <c r="K165" s="88"/>
      <c r="L165" s="81"/>
      <c r="N165" s="227"/>
    </row>
    <row r="166" spans="1:22" ht="50.25" customHeight="1" x14ac:dyDescent="0.2">
      <c r="B166" s="744"/>
      <c r="C166" s="745"/>
      <c r="D166" s="745"/>
      <c r="E166" s="745"/>
      <c r="F166" s="745"/>
      <c r="G166" s="745"/>
      <c r="H166" s="745"/>
      <c r="I166" s="745"/>
      <c r="J166" s="745"/>
      <c r="K166" s="745"/>
      <c r="L166" s="746"/>
      <c r="M166" s="70" t="s">
        <v>19</v>
      </c>
      <c r="N166" s="227"/>
    </row>
    <row r="167" spans="1:22" ht="3.75" customHeight="1" x14ac:dyDescent="0.2">
      <c r="B167" s="104"/>
      <c r="C167" s="88"/>
      <c r="D167" s="81"/>
      <c r="F167" s="81"/>
      <c r="H167" s="81"/>
      <c r="J167" s="81"/>
      <c r="K167" s="88"/>
      <c r="L167" s="81"/>
      <c r="N167" s="227"/>
    </row>
    <row r="168" spans="1:22" ht="12.75" customHeight="1" x14ac:dyDescent="0.2">
      <c r="B168" s="244" t="s">
        <v>17</v>
      </c>
      <c r="C168" s="88"/>
      <c r="D168" s="244" t="s">
        <v>580</v>
      </c>
      <c r="F168" s="244" t="s">
        <v>205</v>
      </c>
      <c r="H168" s="244" t="s">
        <v>16</v>
      </c>
      <c r="J168" s="244" t="s">
        <v>15</v>
      </c>
      <c r="K168" s="245"/>
      <c r="L168" s="103" t="s">
        <v>141</v>
      </c>
      <c r="N168" s="81"/>
      <c r="R168" s="255" t="str">
        <f>IF(AND(R169="NOT",R170="NOT",R171="NOT",R172="NOT",R164="NOT"),"NOT",D162)</f>
        <v>NOT</v>
      </c>
      <c r="S168" s="255" t="str">
        <f>IF(AND(S169="NOT",S170="NOT",S171="NOT",S172="NOT",R164="NOT"),"NOT",D162)</f>
        <v>NOT</v>
      </c>
      <c r="T168" s="255" t="str">
        <f>IF(AND(T169="NOT",T170="NOT",T171="NOT",T172="NOT",R164="NOT"),"NOT",D162)</f>
        <v>NOT</v>
      </c>
    </row>
    <row r="169" spans="1:22" x14ac:dyDescent="0.2">
      <c r="B169" s="259"/>
      <c r="C169" s="88"/>
      <c r="D169" s="260"/>
      <c r="E169" s="243"/>
      <c r="F169" s="261"/>
      <c r="G169" s="243"/>
      <c r="H169" s="262"/>
      <c r="I169" s="243"/>
      <c r="J169" s="262"/>
      <c r="K169" s="88"/>
      <c r="L169" s="143">
        <f>TRUNC(H169*J169,2)</f>
        <v>0</v>
      </c>
      <c r="N169" s="81"/>
      <c r="R169" s="79" t="str">
        <f>IF(AND(($L169&gt;0),ISBLANK(B169)),B169,"NOT")</f>
        <v>NOT</v>
      </c>
      <c r="S169" s="79" t="str">
        <f>IF(AND(($L169&gt;0),ISBLANK(D169)),D169,"NOT")</f>
        <v>NOT</v>
      </c>
      <c r="T169" s="79" t="str">
        <f>IF(AND(($L169&gt;0),ISBLANK(F169)),F169,"NOT")</f>
        <v>NOT</v>
      </c>
      <c r="V169" s="79" t="str">
        <f>LEFT(D169,3)</f>
        <v/>
      </c>
    </row>
    <row r="170" spans="1:22" x14ac:dyDescent="0.2">
      <c r="B170" s="259"/>
      <c r="C170" s="88"/>
      <c r="D170" s="260"/>
      <c r="E170" s="243"/>
      <c r="F170" s="261"/>
      <c r="G170" s="243"/>
      <c r="H170" s="262"/>
      <c r="I170" s="243"/>
      <c r="J170" s="262"/>
      <c r="K170" s="88"/>
      <c r="L170" s="143">
        <f>TRUNC(H170*J170,2)</f>
        <v>0</v>
      </c>
      <c r="N170" s="81"/>
      <c r="R170" s="79" t="str">
        <f>IF(AND(($L170&gt;0),ISBLANK(B170)),B170,"NOT")</f>
        <v>NOT</v>
      </c>
      <c r="S170" s="79" t="str">
        <f>IF(AND(($L170&gt;0),ISBLANK(D170)),D170,"NOT")</f>
        <v>NOT</v>
      </c>
      <c r="T170" s="79" t="str">
        <f>IF(AND(($L170&gt;0),ISBLANK(F170)),F170,"NOT")</f>
        <v>NOT</v>
      </c>
      <c r="V170" s="79" t="str">
        <f>LEFT(D170,3)</f>
        <v/>
      </c>
    </row>
    <row r="171" spans="1:22" x14ac:dyDescent="0.2">
      <c r="B171" s="259"/>
      <c r="C171" s="88"/>
      <c r="D171" s="260"/>
      <c r="E171" s="243"/>
      <c r="F171" s="261"/>
      <c r="G171" s="243"/>
      <c r="H171" s="262"/>
      <c r="I171" s="243"/>
      <c r="J171" s="262"/>
      <c r="K171" s="88"/>
      <c r="L171" s="143">
        <f>TRUNC(H171*J171,2)</f>
        <v>0</v>
      </c>
      <c r="N171" s="81"/>
      <c r="R171" s="79" t="str">
        <f>IF(AND(($L171&gt;0),ISBLANK(B171)),B171,"NOT")</f>
        <v>NOT</v>
      </c>
      <c r="S171" s="79" t="str">
        <f>IF(AND(($L171&gt;0),ISBLANK(D171)),D171,"NOT")</f>
        <v>NOT</v>
      </c>
      <c r="T171" s="79" t="str">
        <f>IF(AND(($L171&gt;0),ISBLANK(F171)),F171,"NOT")</f>
        <v>NOT</v>
      </c>
      <c r="V171" s="79" t="str">
        <f>LEFT(D171,3)</f>
        <v/>
      </c>
    </row>
    <row r="172" spans="1:22" x14ac:dyDescent="0.2">
      <c r="B172" s="259"/>
      <c r="C172" s="88"/>
      <c r="D172" s="260"/>
      <c r="E172" s="243"/>
      <c r="F172" s="261"/>
      <c r="G172" s="243"/>
      <c r="H172" s="262"/>
      <c r="I172" s="243"/>
      <c r="J172" s="262"/>
      <c r="K172" s="88"/>
      <c r="L172" s="143">
        <f>TRUNC(H172*J172,2)</f>
        <v>0</v>
      </c>
      <c r="N172" s="81"/>
      <c r="R172" s="79" t="str">
        <f>IF(AND(($L172&gt;0),ISBLANK(B172)),B172,"NOT")</f>
        <v>NOT</v>
      </c>
      <c r="S172" s="79" t="str">
        <f>IF(AND(($L172&gt;0),ISBLANK(D172)),D172,"NOT")</f>
        <v>NOT</v>
      </c>
      <c r="T172" s="79" t="str">
        <f>IF(AND(($L172&gt;0),ISBLANK(F172)),F172,"NOT")</f>
        <v>NOT</v>
      </c>
      <c r="V172" s="79" t="str">
        <f>LEFT(D172,3)</f>
        <v/>
      </c>
    </row>
    <row r="173" spans="1:22" s="76" customFormat="1" ht="12.75" customHeight="1" x14ac:dyDescent="0.2">
      <c r="A173" s="87"/>
      <c r="B173" s="88"/>
      <c r="C173" s="88"/>
      <c r="D173" s="70"/>
      <c r="E173" s="70"/>
      <c r="F173" s="70"/>
      <c r="G173" s="70"/>
      <c r="H173" s="70"/>
      <c r="I173" s="70"/>
      <c r="J173" s="70"/>
      <c r="K173" s="88"/>
      <c r="L173" s="70"/>
      <c r="M173" s="70"/>
      <c r="N173" s="70"/>
      <c r="O173" s="89"/>
      <c r="V173" s="79"/>
    </row>
    <row r="174" spans="1:22" ht="25.5" x14ac:dyDescent="0.2">
      <c r="A174" s="276"/>
      <c r="B174" s="278" t="s">
        <v>296</v>
      </c>
      <c r="C174" s="277"/>
      <c r="D174" s="747" t="s">
        <v>166</v>
      </c>
      <c r="E174" s="748"/>
      <c r="F174" s="748"/>
      <c r="G174" s="748"/>
      <c r="H174" s="748"/>
      <c r="I174" s="279"/>
      <c r="J174" s="280" t="s">
        <v>18</v>
      </c>
      <c r="K174" s="88"/>
      <c r="L174" s="156">
        <f>SUM(L181:L190)</f>
        <v>0</v>
      </c>
      <c r="M174" s="246"/>
      <c r="N174" s="147">
        <f>IF(L174=0,0%,L174/L$8)</f>
        <v>0</v>
      </c>
      <c r="O174" s="495">
        <f>IF(LEN(R174)&gt;3,1,0)</f>
        <v>0</v>
      </c>
      <c r="R174" s="79" t="str">
        <f>IF(AND(R180="NOT",S180="NOT",T180="NOT"),"NOT",D174)</f>
        <v>NOT</v>
      </c>
    </row>
    <row r="175" spans="1:22" s="76" customFormat="1" ht="3" customHeight="1" x14ac:dyDescent="0.2">
      <c r="A175" s="87"/>
      <c r="B175" s="88"/>
      <c r="C175" s="88"/>
      <c r="D175" s="70"/>
      <c r="E175" s="70"/>
      <c r="F175" s="70"/>
      <c r="G175" s="70"/>
      <c r="H175" s="70"/>
      <c r="I175" s="70"/>
      <c r="J175" s="70"/>
      <c r="K175" s="88"/>
      <c r="L175" s="70"/>
      <c r="M175" s="70"/>
      <c r="N175" s="70"/>
      <c r="O175" s="89"/>
      <c r="V175" s="79"/>
    </row>
    <row r="176" spans="1:22" ht="27.75" customHeight="1" x14ac:dyDescent="0.2">
      <c r="B176" s="749" t="s">
        <v>38</v>
      </c>
      <c r="C176" s="750"/>
      <c r="D176" s="750"/>
      <c r="E176" s="750"/>
      <c r="F176" s="750"/>
      <c r="H176" s="81"/>
      <c r="J176" s="81"/>
      <c r="K176" s="88"/>
      <c r="L176" s="81"/>
      <c r="N176" s="227"/>
      <c r="R176" s="79" t="str">
        <f>IF(AND(($L174&gt;0),ISBLANK(B178)),B176,"NOT")</f>
        <v>NOT</v>
      </c>
    </row>
    <row r="177" spans="1:22" ht="3" customHeight="1" x14ac:dyDescent="0.2">
      <c r="B177" s="104"/>
      <c r="C177" s="88"/>
      <c r="D177" s="81"/>
      <c r="F177" s="81"/>
      <c r="H177" s="81"/>
      <c r="J177" s="81"/>
      <c r="K177" s="88"/>
      <c r="L177" s="81"/>
      <c r="N177" s="227"/>
    </row>
    <row r="178" spans="1:22" ht="81" customHeight="1" x14ac:dyDescent="0.2">
      <c r="B178" s="744"/>
      <c r="C178" s="745"/>
      <c r="D178" s="745"/>
      <c r="E178" s="745"/>
      <c r="F178" s="745"/>
      <c r="G178" s="745"/>
      <c r="H178" s="745"/>
      <c r="I178" s="745"/>
      <c r="J178" s="745"/>
      <c r="K178" s="745"/>
      <c r="L178" s="746"/>
      <c r="M178" s="70" t="s">
        <v>19</v>
      </c>
      <c r="N178" s="227"/>
    </row>
    <row r="179" spans="1:22" ht="3.75" customHeight="1" x14ac:dyDescent="0.2">
      <c r="B179" s="104"/>
      <c r="C179" s="88"/>
      <c r="D179" s="81"/>
      <c r="F179" s="81"/>
      <c r="H179" s="81"/>
      <c r="J179" s="81"/>
      <c r="K179" s="88"/>
      <c r="L179" s="81"/>
      <c r="N179" s="227"/>
    </row>
    <row r="180" spans="1:22" ht="38.25" x14ac:dyDescent="0.2">
      <c r="B180" s="244" t="s">
        <v>23</v>
      </c>
      <c r="C180" s="88"/>
      <c r="D180" s="244" t="s">
        <v>580</v>
      </c>
      <c r="F180" s="244" t="s">
        <v>205</v>
      </c>
      <c r="H180" s="244" t="s">
        <v>16</v>
      </c>
      <c r="J180" s="244" t="s">
        <v>15</v>
      </c>
      <c r="K180" s="245"/>
      <c r="L180" s="103" t="s">
        <v>141</v>
      </c>
      <c r="N180" s="81"/>
      <c r="R180" s="255" t="str">
        <f>IF(AND(R181="NOT",R182="NOT",R183="NOT",R184="NOT",R185="NOT",R186="NOT",R187="NOT",R188="NOT",R189="NOT",R190="NOT",R176="NOT"),"NOT",D174)</f>
        <v>NOT</v>
      </c>
      <c r="S180" s="255" t="str">
        <f>IF(AND(S181="NOT",S182="NOT",S183="NOT",S184="NOT",S185="NOT",S186="NOT",S187="NOT",S188="NOT",S189="NOT",S190="NOT",R176="NOT"),"NOT",D174)</f>
        <v>NOT</v>
      </c>
      <c r="T180" s="255" t="str">
        <f>IF(AND(T181="NOT",T182="NOT",T183="NOT",T184="NOT",T185="NOT",T186="NOT",T187="NOT",T188="NOT",T189="NOT",T190="NOT",R176="NOT"),"NOT",D174)</f>
        <v>NOT</v>
      </c>
    </row>
    <row r="181" spans="1:22" x14ac:dyDescent="0.2">
      <c r="B181" s="259"/>
      <c r="C181" s="88"/>
      <c r="D181" s="260"/>
      <c r="E181" s="243"/>
      <c r="F181" s="261"/>
      <c r="G181" s="243"/>
      <c r="H181" s="262"/>
      <c r="I181" s="243"/>
      <c r="J181" s="262"/>
      <c r="K181" s="88"/>
      <c r="L181" s="143">
        <f t="shared" ref="L181:L190" si="32">TRUNC(H181*J181,2)</f>
        <v>0</v>
      </c>
      <c r="N181" s="81"/>
      <c r="R181" s="79" t="str">
        <f t="shared" ref="R181:R190" si="33">IF(AND(($L181&gt;0),ISBLANK(B181)),B181,"NOT")</f>
        <v>NOT</v>
      </c>
      <c r="S181" s="79" t="str">
        <f t="shared" ref="S181:S190" si="34">IF(AND(($L181&gt;0),ISBLANK(D181)),D181,"NOT")</f>
        <v>NOT</v>
      </c>
      <c r="T181" s="79" t="str">
        <f t="shared" ref="T181:T190" si="35">IF(AND(($L181&gt;0),ISBLANK(F181)),F181,"NOT")</f>
        <v>NOT</v>
      </c>
      <c r="V181" s="79" t="str">
        <f t="shared" ref="V181:V190" si="36">LEFT(D181,3)</f>
        <v/>
      </c>
    </row>
    <row r="182" spans="1:22" x14ac:dyDescent="0.2">
      <c r="B182" s="259"/>
      <c r="C182" s="88"/>
      <c r="D182" s="260"/>
      <c r="E182" s="243"/>
      <c r="F182" s="261"/>
      <c r="G182" s="243"/>
      <c r="H182" s="262"/>
      <c r="I182" s="243"/>
      <c r="J182" s="262"/>
      <c r="K182" s="88"/>
      <c r="L182" s="143">
        <f t="shared" si="32"/>
        <v>0</v>
      </c>
      <c r="N182" s="81"/>
      <c r="R182" s="79" t="str">
        <f t="shared" si="33"/>
        <v>NOT</v>
      </c>
      <c r="S182" s="79" t="str">
        <f t="shared" si="34"/>
        <v>NOT</v>
      </c>
      <c r="T182" s="79" t="str">
        <f t="shared" si="35"/>
        <v>NOT</v>
      </c>
      <c r="V182" s="79" t="str">
        <f t="shared" si="36"/>
        <v/>
      </c>
    </row>
    <row r="183" spans="1:22" x14ac:dyDescent="0.2">
      <c r="B183" s="259"/>
      <c r="C183" s="88"/>
      <c r="D183" s="260"/>
      <c r="E183" s="243"/>
      <c r="F183" s="261"/>
      <c r="G183" s="243"/>
      <c r="H183" s="262"/>
      <c r="I183" s="243"/>
      <c r="J183" s="262"/>
      <c r="K183" s="88"/>
      <c r="L183" s="143">
        <f t="shared" si="32"/>
        <v>0</v>
      </c>
      <c r="N183" s="81"/>
      <c r="R183" s="79" t="str">
        <f t="shared" si="33"/>
        <v>NOT</v>
      </c>
      <c r="S183" s="79" t="str">
        <f t="shared" si="34"/>
        <v>NOT</v>
      </c>
      <c r="T183" s="79" t="str">
        <f t="shared" si="35"/>
        <v>NOT</v>
      </c>
      <c r="V183" s="79" t="str">
        <f t="shared" si="36"/>
        <v/>
      </c>
    </row>
    <row r="184" spans="1:22" x14ac:dyDescent="0.2">
      <c r="B184" s="259"/>
      <c r="C184" s="88"/>
      <c r="D184" s="260"/>
      <c r="E184" s="243"/>
      <c r="F184" s="261"/>
      <c r="G184" s="243"/>
      <c r="H184" s="262"/>
      <c r="I184" s="243"/>
      <c r="J184" s="262"/>
      <c r="K184" s="88"/>
      <c r="L184" s="143">
        <f t="shared" si="32"/>
        <v>0</v>
      </c>
      <c r="N184" s="81"/>
      <c r="R184" s="79" t="str">
        <f t="shared" si="33"/>
        <v>NOT</v>
      </c>
      <c r="S184" s="79" t="str">
        <f t="shared" si="34"/>
        <v>NOT</v>
      </c>
      <c r="T184" s="79" t="str">
        <f t="shared" si="35"/>
        <v>NOT</v>
      </c>
      <c r="V184" s="79" t="str">
        <f t="shared" si="36"/>
        <v/>
      </c>
    </row>
    <row r="185" spans="1:22" x14ac:dyDescent="0.2">
      <c r="B185" s="259"/>
      <c r="C185" s="88"/>
      <c r="D185" s="260"/>
      <c r="E185" s="243"/>
      <c r="F185" s="261"/>
      <c r="G185" s="243"/>
      <c r="H185" s="262"/>
      <c r="I185" s="243"/>
      <c r="J185" s="262"/>
      <c r="K185" s="88"/>
      <c r="L185" s="143">
        <f t="shared" si="32"/>
        <v>0</v>
      </c>
      <c r="N185" s="81"/>
      <c r="R185" s="79" t="str">
        <f t="shared" si="33"/>
        <v>NOT</v>
      </c>
      <c r="S185" s="79" t="str">
        <f t="shared" si="34"/>
        <v>NOT</v>
      </c>
      <c r="T185" s="79" t="str">
        <f t="shared" si="35"/>
        <v>NOT</v>
      </c>
      <c r="V185" s="79" t="str">
        <f t="shared" si="36"/>
        <v/>
      </c>
    </row>
    <row r="186" spans="1:22" x14ac:dyDescent="0.2">
      <c r="B186" s="259"/>
      <c r="C186" s="88"/>
      <c r="D186" s="260"/>
      <c r="E186" s="243"/>
      <c r="F186" s="261"/>
      <c r="G186" s="243"/>
      <c r="H186" s="262"/>
      <c r="I186" s="243"/>
      <c r="J186" s="262"/>
      <c r="K186" s="88"/>
      <c r="L186" s="143">
        <f t="shared" si="32"/>
        <v>0</v>
      </c>
      <c r="N186" s="81"/>
      <c r="R186" s="79" t="str">
        <f t="shared" si="33"/>
        <v>NOT</v>
      </c>
      <c r="S186" s="79" t="str">
        <f t="shared" si="34"/>
        <v>NOT</v>
      </c>
      <c r="T186" s="79" t="str">
        <f t="shared" si="35"/>
        <v>NOT</v>
      </c>
      <c r="V186" s="79" t="str">
        <f t="shared" si="36"/>
        <v/>
      </c>
    </row>
    <row r="187" spans="1:22" x14ac:dyDescent="0.2">
      <c r="B187" s="259"/>
      <c r="C187" s="88"/>
      <c r="D187" s="260"/>
      <c r="E187" s="243"/>
      <c r="F187" s="261"/>
      <c r="G187" s="243"/>
      <c r="H187" s="262"/>
      <c r="I187" s="243"/>
      <c r="J187" s="262"/>
      <c r="K187" s="88"/>
      <c r="L187" s="143">
        <f t="shared" si="32"/>
        <v>0</v>
      </c>
      <c r="N187" s="81"/>
      <c r="R187" s="79" t="str">
        <f t="shared" si="33"/>
        <v>NOT</v>
      </c>
      <c r="S187" s="79" t="str">
        <f t="shared" si="34"/>
        <v>NOT</v>
      </c>
      <c r="T187" s="79" t="str">
        <f t="shared" si="35"/>
        <v>NOT</v>
      </c>
      <c r="V187" s="79" t="str">
        <f t="shared" si="36"/>
        <v/>
      </c>
    </row>
    <row r="188" spans="1:22" x14ac:dyDescent="0.2">
      <c r="B188" s="259"/>
      <c r="C188" s="88"/>
      <c r="D188" s="260"/>
      <c r="E188" s="243"/>
      <c r="F188" s="261"/>
      <c r="G188" s="243"/>
      <c r="H188" s="262"/>
      <c r="I188" s="243"/>
      <c r="J188" s="262"/>
      <c r="K188" s="88"/>
      <c r="L188" s="143">
        <f t="shared" si="32"/>
        <v>0</v>
      </c>
      <c r="N188" s="81"/>
      <c r="R188" s="79" t="str">
        <f t="shared" si="33"/>
        <v>NOT</v>
      </c>
      <c r="S188" s="79" t="str">
        <f t="shared" si="34"/>
        <v>NOT</v>
      </c>
      <c r="T188" s="79" t="str">
        <f t="shared" si="35"/>
        <v>NOT</v>
      </c>
      <c r="V188" s="79" t="str">
        <f t="shared" si="36"/>
        <v/>
      </c>
    </row>
    <row r="189" spans="1:22" x14ac:dyDescent="0.2">
      <c r="B189" s="259"/>
      <c r="C189" s="88"/>
      <c r="D189" s="260"/>
      <c r="E189" s="243"/>
      <c r="F189" s="261"/>
      <c r="G189" s="243"/>
      <c r="H189" s="262"/>
      <c r="I189" s="243"/>
      <c r="J189" s="262"/>
      <c r="K189" s="88"/>
      <c r="L189" s="143">
        <f t="shared" si="32"/>
        <v>0</v>
      </c>
      <c r="N189" s="81"/>
      <c r="R189" s="79" t="str">
        <f t="shared" si="33"/>
        <v>NOT</v>
      </c>
      <c r="S189" s="79" t="str">
        <f t="shared" si="34"/>
        <v>NOT</v>
      </c>
      <c r="T189" s="79" t="str">
        <f t="shared" si="35"/>
        <v>NOT</v>
      </c>
      <c r="V189" s="79" t="str">
        <f t="shared" si="36"/>
        <v/>
      </c>
    </row>
    <row r="190" spans="1:22" x14ac:dyDescent="0.2">
      <c r="B190" s="259"/>
      <c r="C190" s="88"/>
      <c r="D190" s="260"/>
      <c r="E190" s="243"/>
      <c r="F190" s="261"/>
      <c r="G190" s="243"/>
      <c r="H190" s="262"/>
      <c r="I190" s="243"/>
      <c r="J190" s="262"/>
      <c r="K190" s="88"/>
      <c r="L190" s="143">
        <f t="shared" si="32"/>
        <v>0</v>
      </c>
      <c r="N190" s="81"/>
      <c r="R190" s="79" t="str">
        <f t="shared" si="33"/>
        <v>NOT</v>
      </c>
      <c r="S190" s="79" t="str">
        <f t="shared" si="34"/>
        <v>NOT</v>
      </c>
      <c r="T190" s="79" t="str">
        <f t="shared" si="35"/>
        <v>NOT</v>
      </c>
      <c r="V190" s="79" t="str">
        <f t="shared" si="36"/>
        <v/>
      </c>
    </row>
    <row r="191" spans="1:22" x14ac:dyDescent="0.2">
      <c r="B191" s="104"/>
      <c r="C191" s="88"/>
      <c r="D191" s="81"/>
      <c r="F191" s="81"/>
      <c r="H191" s="81"/>
      <c r="J191" s="81"/>
      <c r="K191" s="88"/>
      <c r="L191" s="81"/>
      <c r="N191" s="227"/>
    </row>
    <row r="192" spans="1:22" ht="13.5" customHeight="1" x14ac:dyDescent="0.2">
      <c r="A192" s="276"/>
      <c r="B192" s="278" t="s">
        <v>297</v>
      </c>
      <c r="C192" s="277"/>
      <c r="D192" s="747" t="s">
        <v>166</v>
      </c>
      <c r="E192" s="748"/>
      <c r="F192" s="748"/>
      <c r="G192" s="748"/>
      <c r="H192" s="748"/>
      <c r="I192" s="279"/>
      <c r="J192" s="280" t="s">
        <v>18</v>
      </c>
      <c r="K192" s="88"/>
      <c r="L192" s="156">
        <f>SUM(L199:L203)</f>
        <v>0</v>
      </c>
      <c r="M192" s="246"/>
      <c r="N192" s="147">
        <f>IF(L192=0,0%,L192/L$8)</f>
        <v>0</v>
      </c>
      <c r="O192" s="495">
        <f>IF(LEN(R192)&gt;3,1,0)</f>
        <v>0</v>
      </c>
      <c r="R192" s="79" t="str">
        <f>IF(AND(R198="NOT",S198="NOT",T198="NOT"),"NOT",D192)</f>
        <v>NOT</v>
      </c>
    </row>
    <row r="193" spans="1:22" s="76" customFormat="1" ht="3" customHeight="1" x14ac:dyDescent="0.2">
      <c r="A193" s="87"/>
      <c r="B193" s="88"/>
      <c r="C193" s="88"/>
      <c r="D193" s="70"/>
      <c r="E193" s="70"/>
      <c r="F193" s="70"/>
      <c r="G193" s="70"/>
      <c r="H193" s="70"/>
      <c r="I193" s="70"/>
      <c r="J193" s="70"/>
      <c r="K193" s="88"/>
      <c r="L193" s="70"/>
      <c r="M193" s="70"/>
      <c r="N193" s="70"/>
      <c r="O193" s="89"/>
      <c r="V193" s="79"/>
    </row>
    <row r="194" spans="1:22" ht="25.5" customHeight="1" x14ac:dyDescent="0.2">
      <c r="B194" s="749" t="s">
        <v>646</v>
      </c>
      <c r="C194" s="750"/>
      <c r="D194" s="750"/>
      <c r="E194" s="750"/>
      <c r="F194" s="750"/>
      <c r="H194" s="81"/>
      <c r="J194" s="81"/>
      <c r="K194" s="88"/>
      <c r="L194" s="81"/>
      <c r="N194" s="227"/>
      <c r="R194" s="79" t="str">
        <f>IF(AND(($L192&gt;0),ISBLANK(B196)),B194,"NOT")</f>
        <v>NOT</v>
      </c>
    </row>
    <row r="195" spans="1:22" ht="3" customHeight="1" x14ac:dyDescent="0.2">
      <c r="B195" s="104"/>
      <c r="C195" s="88"/>
      <c r="D195" s="81"/>
      <c r="F195" s="81"/>
      <c r="H195" s="81"/>
      <c r="J195" s="81"/>
      <c r="K195" s="88"/>
      <c r="L195" s="81"/>
      <c r="N195" s="227"/>
    </row>
    <row r="196" spans="1:22" ht="60.75" customHeight="1" x14ac:dyDescent="0.2">
      <c r="B196" s="744"/>
      <c r="C196" s="745"/>
      <c r="D196" s="745"/>
      <c r="E196" s="745"/>
      <c r="F196" s="745"/>
      <c r="G196" s="745"/>
      <c r="H196" s="745"/>
      <c r="I196" s="745"/>
      <c r="J196" s="745"/>
      <c r="K196" s="745"/>
      <c r="L196" s="746"/>
      <c r="M196" s="70" t="s">
        <v>19</v>
      </c>
      <c r="N196" s="227"/>
    </row>
    <row r="197" spans="1:22" ht="3.75" customHeight="1" x14ac:dyDescent="0.2">
      <c r="B197" s="104"/>
      <c r="C197" s="88"/>
      <c r="D197" s="81"/>
      <c r="F197" s="81"/>
      <c r="H197" s="81"/>
      <c r="J197" s="81"/>
      <c r="K197" s="88"/>
      <c r="L197" s="81"/>
      <c r="N197" s="227"/>
    </row>
    <row r="198" spans="1:22" ht="12.75" customHeight="1" x14ac:dyDescent="0.2">
      <c r="B198" s="244" t="s">
        <v>17</v>
      </c>
      <c r="C198" s="88"/>
      <c r="D198" s="244" t="s">
        <v>580</v>
      </c>
      <c r="F198" s="244" t="s">
        <v>205</v>
      </c>
      <c r="H198" s="244" t="s">
        <v>16</v>
      </c>
      <c r="J198" s="244" t="s">
        <v>15</v>
      </c>
      <c r="K198" s="245"/>
      <c r="L198" s="103" t="s">
        <v>141</v>
      </c>
      <c r="N198" s="81"/>
      <c r="R198" s="255" t="str">
        <f>IF(AND(R199="NOT",R200="NOT",R201="NOT",R202="NOT",R203="NOT",R194="NOT"),"NOT",D192)</f>
        <v>NOT</v>
      </c>
      <c r="S198" s="255" t="str">
        <f>IF(AND(S199="NOT",S200="NOT",S201="NOT",S202="NOT",S203="NOT",R194="NOT"),"NOT",D192)</f>
        <v>NOT</v>
      </c>
      <c r="T198" s="255" t="str">
        <f>IF(AND(T199="NOT",T200="NOT",T201="NOT",T202="NOT",T203="NOT",R194="NOT"),"NOT",D192)</f>
        <v>NOT</v>
      </c>
    </row>
    <row r="199" spans="1:22" x14ac:dyDescent="0.2">
      <c r="B199" s="259"/>
      <c r="C199" s="88"/>
      <c r="D199" s="260"/>
      <c r="E199" s="243"/>
      <c r="F199" s="261"/>
      <c r="G199" s="243"/>
      <c r="H199" s="262"/>
      <c r="I199" s="243"/>
      <c r="J199" s="262"/>
      <c r="K199" s="88"/>
      <c r="L199" s="143">
        <f>TRUNC(H199*J199,2)</f>
        <v>0</v>
      </c>
      <c r="N199" s="81"/>
      <c r="R199" s="79" t="str">
        <f>IF(AND(($L199&gt;0),ISBLANK(B199)),B199,"NOT")</f>
        <v>NOT</v>
      </c>
      <c r="S199" s="79" t="str">
        <f>IF(AND(($L199&gt;0),ISBLANK(D199)),D199,"NOT")</f>
        <v>NOT</v>
      </c>
      <c r="T199" s="79" t="str">
        <f>IF(AND(($L199&gt;0),ISBLANK(F199)),F199,"NOT")</f>
        <v>NOT</v>
      </c>
      <c r="V199" s="79" t="str">
        <f>LEFT(D199,3)</f>
        <v/>
      </c>
    </row>
    <row r="200" spans="1:22" x14ac:dyDescent="0.2">
      <c r="B200" s="259"/>
      <c r="C200" s="88"/>
      <c r="D200" s="260"/>
      <c r="E200" s="243"/>
      <c r="F200" s="261"/>
      <c r="G200" s="243"/>
      <c r="H200" s="262"/>
      <c r="I200" s="243"/>
      <c r="J200" s="262"/>
      <c r="K200" s="88"/>
      <c r="L200" s="143">
        <f>TRUNC(H200*J200,2)</f>
        <v>0</v>
      </c>
      <c r="N200" s="81"/>
      <c r="R200" s="79" t="str">
        <f>IF(AND(($L200&gt;0),ISBLANK(B200)),B200,"NOT")</f>
        <v>NOT</v>
      </c>
      <c r="S200" s="79" t="str">
        <f>IF(AND(($L200&gt;0),ISBLANK(D200)),D200,"NOT")</f>
        <v>NOT</v>
      </c>
      <c r="T200" s="79" t="str">
        <f>IF(AND(($L200&gt;0),ISBLANK(F200)),F200,"NOT")</f>
        <v>NOT</v>
      </c>
      <c r="V200" s="79" t="str">
        <f t="shared" ref="V200:V203" si="37">LEFT(D200,3)</f>
        <v/>
      </c>
    </row>
    <row r="201" spans="1:22" x14ac:dyDescent="0.2">
      <c r="B201" s="259"/>
      <c r="C201" s="88"/>
      <c r="D201" s="260"/>
      <c r="E201" s="243"/>
      <c r="F201" s="261"/>
      <c r="G201" s="243"/>
      <c r="H201" s="262"/>
      <c r="I201" s="243"/>
      <c r="J201" s="262"/>
      <c r="K201" s="88"/>
      <c r="L201" s="143">
        <f>TRUNC(H201*J201,2)</f>
        <v>0</v>
      </c>
      <c r="N201" s="81"/>
      <c r="R201" s="79" t="str">
        <f>IF(AND(($L201&gt;0),ISBLANK(B201)),B201,"NOT")</f>
        <v>NOT</v>
      </c>
      <c r="S201" s="79" t="str">
        <f>IF(AND(($L201&gt;0),ISBLANK(D201)),D201,"NOT")</f>
        <v>NOT</v>
      </c>
      <c r="T201" s="79" t="str">
        <f>IF(AND(($L201&gt;0),ISBLANK(F201)),F201,"NOT")</f>
        <v>NOT</v>
      </c>
      <c r="V201" s="79" t="str">
        <f t="shared" si="37"/>
        <v/>
      </c>
    </row>
    <row r="202" spans="1:22" x14ac:dyDescent="0.2">
      <c r="B202" s="259"/>
      <c r="C202" s="88"/>
      <c r="D202" s="260"/>
      <c r="E202" s="243"/>
      <c r="F202" s="261"/>
      <c r="G202" s="243"/>
      <c r="H202" s="262"/>
      <c r="I202" s="243"/>
      <c r="J202" s="262"/>
      <c r="K202" s="88"/>
      <c r="L202" s="143">
        <f>TRUNC(H202*J202,2)</f>
        <v>0</v>
      </c>
      <c r="N202" s="81"/>
      <c r="R202" s="79" t="str">
        <f>IF(AND(($L202&gt;0),ISBLANK(B202)),B202,"NOT")</f>
        <v>NOT</v>
      </c>
      <c r="S202" s="79" t="str">
        <f>IF(AND(($L202&gt;0),ISBLANK(D202)),D202,"NOT")</f>
        <v>NOT</v>
      </c>
      <c r="T202" s="79" t="str">
        <f>IF(AND(($L202&gt;0),ISBLANK(F202)),F202,"NOT")</f>
        <v>NOT</v>
      </c>
      <c r="V202" s="79" t="str">
        <f t="shared" si="37"/>
        <v/>
      </c>
    </row>
    <row r="203" spans="1:22" x14ac:dyDescent="0.2">
      <c r="B203" s="259"/>
      <c r="C203" s="88"/>
      <c r="D203" s="260"/>
      <c r="E203" s="243"/>
      <c r="F203" s="261"/>
      <c r="G203" s="243"/>
      <c r="H203" s="262"/>
      <c r="I203" s="243"/>
      <c r="J203" s="262"/>
      <c r="K203" s="88"/>
      <c r="L203" s="143">
        <f>TRUNC(H203*J203,2)</f>
        <v>0</v>
      </c>
      <c r="N203" s="81"/>
      <c r="R203" s="79" t="str">
        <f>IF(AND(($L203&gt;0),ISBLANK(B203)),B203,"NOT")</f>
        <v>NOT</v>
      </c>
      <c r="S203" s="79" t="str">
        <f>IF(AND(($L203&gt;0),ISBLANK(D203)),D203,"NOT")</f>
        <v>NOT</v>
      </c>
      <c r="T203" s="79" t="str">
        <f>IF(AND(($L203&gt;0),ISBLANK(F203)),F203,"NOT")</f>
        <v>NOT</v>
      </c>
      <c r="V203" s="79" t="str">
        <f t="shared" si="37"/>
        <v/>
      </c>
    </row>
    <row r="204" spans="1:22" x14ac:dyDescent="0.2">
      <c r="B204" s="104"/>
      <c r="C204" s="88"/>
      <c r="D204" s="81"/>
      <c r="F204" s="81"/>
      <c r="H204" s="81"/>
      <c r="J204" s="81"/>
      <c r="K204" s="88"/>
      <c r="L204" s="81"/>
      <c r="N204" s="227"/>
    </row>
    <row r="205" spans="1:22" x14ac:dyDescent="0.2">
      <c r="B205" s="104"/>
      <c r="C205" s="88"/>
      <c r="D205" s="81"/>
      <c r="F205" s="81"/>
      <c r="H205" s="81"/>
      <c r="J205" s="81"/>
      <c r="K205" s="88"/>
      <c r="L205" s="81"/>
      <c r="N205" s="227"/>
    </row>
    <row r="206" spans="1:22" ht="27" customHeight="1" x14ac:dyDescent="0.2">
      <c r="A206" s="247">
        <v>6</v>
      </c>
      <c r="B206" s="248" t="s">
        <v>298</v>
      </c>
      <c r="C206" s="249"/>
      <c r="D206" s="760"/>
      <c r="E206" s="761"/>
      <c r="F206" s="761"/>
      <c r="G206" s="761"/>
      <c r="H206" s="762"/>
      <c r="I206" s="250"/>
      <c r="J206" s="251" t="s">
        <v>18</v>
      </c>
      <c r="K206" s="249"/>
      <c r="L206" s="252">
        <f>L208+L226</f>
        <v>0</v>
      </c>
      <c r="M206" s="250"/>
      <c r="N206" s="253">
        <f>IF(L206=0,0%,L206/L$8)</f>
        <v>0</v>
      </c>
      <c r="O206" s="94"/>
      <c r="P206" s="95"/>
      <c r="Q206" s="79" t="e">
        <f>IF(AND(R227=#REF!,#REF!&gt;#REF!),D206,0)</f>
        <v>#REF!</v>
      </c>
      <c r="R206" s="79" t="e">
        <f>IF(AND(R227=#REF!,#REF!&gt;#REF!),D206,0)</f>
        <v>#REF!</v>
      </c>
      <c r="S206" s="79">
        <f>IF('9. Project budget summary'!T41&gt;0,('9. Project budget summary'!T37+'9. Project budget summary'!T33)/'9. Project budget summary'!T41,0)</f>
        <v>0.67187048492599999</v>
      </c>
      <c r="T206" s="231" t="s">
        <v>172</v>
      </c>
      <c r="U206" s="320" t="s">
        <v>183</v>
      </c>
      <c r="V206" s="271">
        <v>0.7</v>
      </c>
    </row>
    <row r="207" spans="1:22" s="76" customFormat="1" ht="7.5" customHeight="1" x14ac:dyDescent="0.2">
      <c r="A207" s="87"/>
      <c r="B207" s="88"/>
      <c r="C207" s="88"/>
      <c r="D207" s="70"/>
      <c r="E207" s="70"/>
      <c r="F207" s="70"/>
      <c r="G207" s="70"/>
      <c r="H207" s="70"/>
      <c r="I207" s="70"/>
      <c r="J207" s="70"/>
      <c r="K207" s="88"/>
      <c r="L207" s="70"/>
      <c r="M207" s="70"/>
      <c r="N207" s="70"/>
      <c r="O207" s="89"/>
      <c r="V207" s="79"/>
    </row>
    <row r="208" spans="1:22" ht="13.5" customHeight="1" x14ac:dyDescent="0.2">
      <c r="A208" s="276"/>
      <c r="B208" s="278" t="s">
        <v>301</v>
      </c>
      <c r="C208" s="277"/>
      <c r="D208" s="747" t="s">
        <v>166</v>
      </c>
      <c r="E208" s="748"/>
      <c r="F208" s="748"/>
      <c r="G208" s="748"/>
      <c r="H208" s="748"/>
      <c r="I208" s="279"/>
      <c r="J208" s="280" t="s">
        <v>18</v>
      </c>
      <c r="K208" s="88"/>
      <c r="L208" s="156">
        <f>SUM(L215:L224)</f>
        <v>0</v>
      </c>
      <c r="M208" s="246"/>
      <c r="N208" s="147">
        <f>IF(L208=0,0%,L208/L$8)</f>
        <v>0</v>
      </c>
      <c r="O208" s="495">
        <f>IF(LEN(R208)&gt;3,1,0)</f>
        <v>0</v>
      </c>
      <c r="R208" s="79" t="str">
        <f>IF(AND(R214="NOT",S214="NOT",T214="NOT"),"NOT",D208)</f>
        <v>NOT</v>
      </c>
    </row>
    <row r="209" spans="1:22" s="76" customFormat="1" ht="3" customHeight="1" x14ac:dyDescent="0.2">
      <c r="A209" s="87"/>
      <c r="B209" s="88"/>
      <c r="C209" s="88"/>
      <c r="D209" s="70"/>
      <c r="E209" s="70"/>
      <c r="F209" s="70"/>
      <c r="G209" s="70"/>
      <c r="H209" s="70"/>
      <c r="I209" s="70"/>
      <c r="J209" s="70"/>
      <c r="K209" s="88"/>
      <c r="L209" s="70"/>
      <c r="M209" s="70"/>
      <c r="N209" s="70"/>
      <c r="O209" s="89"/>
      <c r="V209" s="79"/>
    </row>
    <row r="210" spans="1:22" ht="24.75" customHeight="1" x14ac:dyDescent="0.2">
      <c r="B210" s="749" t="s">
        <v>203</v>
      </c>
      <c r="C210" s="750"/>
      <c r="D210" s="750"/>
      <c r="E210" s="750"/>
      <c r="F210" s="750"/>
      <c r="H210" s="81"/>
      <c r="J210" s="81"/>
      <c r="K210" s="88"/>
      <c r="L210" s="81"/>
      <c r="N210" s="227"/>
      <c r="R210" s="79" t="str">
        <f>IF(AND(($L208&gt;0),ISBLANK(B212)),B210,"NOT")</f>
        <v>NOT</v>
      </c>
    </row>
    <row r="211" spans="1:22" ht="3" customHeight="1" x14ac:dyDescent="0.2">
      <c r="B211" s="104"/>
      <c r="C211" s="88"/>
      <c r="D211" s="81"/>
      <c r="F211" s="81"/>
      <c r="H211" s="81"/>
      <c r="J211" s="81"/>
      <c r="K211" s="88"/>
      <c r="L211" s="81"/>
      <c r="N211" s="227"/>
    </row>
    <row r="212" spans="1:22" ht="90" customHeight="1" x14ac:dyDescent="0.2">
      <c r="B212" s="744"/>
      <c r="C212" s="745"/>
      <c r="D212" s="745"/>
      <c r="E212" s="745"/>
      <c r="F212" s="745"/>
      <c r="G212" s="745"/>
      <c r="H212" s="745"/>
      <c r="I212" s="745"/>
      <c r="J212" s="745"/>
      <c r="K212" s="745"/>
      <c r="L212" s="746"/>
      <c r="M212" s="70" t="s">
        <v>19</v>
      </c>
      <c r="N212" s="227"/>
    </row>
    <row r="213" spans="1:22" ht="3.75" customHeight="1" x14ac:dyDescent="0.2">
      <c r="B213" s="104"/>
      <c r="C213" s="88"/>
      <c r="D213" s="81"/>
      <c r="F213" s="81"/>
      <c r="H213" s="81"/>
      <c r="J213" s="81"/>
      <c r="K213" s="88"/>
      <c r="L213" s="81"/>
      <c r="N213" s="227"/>
    </row>
    <row r="214" spans="1:22" ht="38.25" x14ac:dyDescent="0.2">
      <c r="B214" s="244" t="s">
        <v>204</v>
      </c>
      <c r="C214" s="88"/>
      <c r="D214" s="244" t="s">
        <v>580</v>
      </c>
      <c r="F214" s="244" t="s">
        <v>205</v>
      </c>
      <c r="H214" s="244" t="s">
        <v>16</v>
      </c>
      <c r="J214" s="244" t="s">
        <v>15</v>
      </c>
      <c r="K214" s="245"/>
      <c r="L214" s="103" t="s">
        <v>141</v>
      </c>
      <c r="N214" s="81"/>
      <c r="R214" s="255" t="str">
        <f>IF(AND(R215="NOT",R216="NOT",R217="NOT",R218="NOT",R219="NOT",R220="NOT",R221="NOT",R222="NOT",R223="NOT",R224="NOT",R210="NOT"),"NOT",D208)</f>
        <v>NOT</v>
      </c>
      <c r="S214" s="255" t="str">
        <f>IF(AND(S215="NOT",S216="NOT",S217="NOT",S218="NOT",S219="NOT",S220="NOT",S221="NOT",S222="NOT",S223="NOT",S224="NOT",R210="NOT"),"NOT",D208)</f>
        <v>NOT</v>
      </c>
      <c r="T214" s="255" t="str">
        <f>IF(AND(T215="NOT",T216="NOT",T217="NOT",T218="NOT",T219="NOT",T220="NOT",T221="NOT",T222="NOT",T223="NOT",T224="NOT",R210="NOT"),"NOT",D208)</f>
        <v>NOT</v>
      </c>
    </row>
    <row r="215" spans="1:22" x14ac:dyDescent="0.2">
      <c r="B215" s="259"/>
      <c r="C215" s="88"/>
      <c r="D215" s="260"/>
      <c r="E215" s="243"/>
      <c r="F215" s="261"/>
      <c r="G215" s="243"/>
      <c r="H215" s="262"/>
      <c r="I215" s="243"/>
      <c r="J215" s="262"/>
      <c r="K215" s="88"/>
      <c r="L215" s="143">
        <f t="shared" ref="L215:L224" si="38">TRUNC(H215*J215,2)</f>
        <v>0</v>
      </c>
      <c r="N215" s="81"/>
      <c r="R215" s="79" t="str">
        <f t="shared" ref="R215:R224" si="39">IF(AND(($L215&gt;0),ISBLANK(B215)),B215,"NOT")</f>
        <v>NOT</v>
      </c>
      <c r="S215" s="79" t="str">
        <f t="shared" ref="S215:S224" si="40">IF(AND(($L215&gt;0),ISBLANK(D215)),D215,"NOT")</f>
        <v>NOT</v>
      </c>
      <c r="T215" s="79" t="str">
        <f t="shared" ref="T215:T224" si="41">IF(AND(($L215&gt;0),ISBLANK(F215)),F215,"NOT")</f>
        <v>NOT</v>
      </c>
      <c r="V215" s="79" t="str">
        <f t="shared" ref="V215:V224" si="42">LEFT(D215,3)</f>
        <v/>
      </c>
    </row>
    <row r="216" spans="1:22" x14ac:dyDescent="0.2">
      <c r="B216" s="259"/>
      <c r="C216" s="88"/>
      <c r="D216" s="260"/>
      <c r="E216" s="243"/>
      <c r="F216" s="261"/>
      <c r="G216" s="243"/>
      <c r="H216" s="262"/>
      <c r="I216" s="243"/>
      <c r="J216" s="262"/>
      <c r="K216" s="88"/>
      <c r="L216" s="143">
        <f t="shared" si="38"/>
        <v>0</v>
      </c>
      <c r="N216" s="81"/>
      <c r="R216" s="79" t="str">
        <f t="shared" si="39"/>
        <v>NOT</v>
      </c>
      <c r="S216" s="79" t="str">
        <f t="shared" si="40"/>
        <v>NOT</v>
      </c>
      <c r="T216" s="79" t="str">
        <f t="shared" si="41"/>
        <v>NOT</v>
      </c>
      <c r="V216" s="79" t="str">
        <f t="shared" si="42"/>
        <v/>
      </c>
    </row>
    <row r="217" spans="1:22" x14ac:dyDescent="0.2">
      <c r="B217" s="259"/>
      <c r="C217" s="88"/>
      <c r="D217" s="260"/>
      <c r="E217" s="243"/>
      <c r="F217" s="261"/>
      <c r="G217" s="243"/>
      <c r="H217" s="262"/>
      <c r="I217" s="243"/>
      <c r="J217" s="262"/>
      <c r="K217" s="88"/>
      <c r="L217" s="143">
        <f t="shared" si="38"/>
        <v>0</v>
      </c>
      <c r="N217" s="81"/>
      <c r="R217" s="79" t="str">
        <f t="shared" si="39"/>
        <v>NOT</v>
      </c>
      <c r="S217" s="79" t="str">
        <f t="shared" si="40"/>
        <v>NOT</v>
      </c>
      <c r="T217" s="79" t="str">
        <f t="shared" si="41"/>
        <v>NOT</v>
      </c>
      <c r="V217" s="79" t="str">
        <f t="shared" si="42"/>
        <v/>
      </c>
    </row>
    <row r="218" spans="1:22" x14ac:dyDescent="0.2">
      <c r="B218" s="259"/>
      <c r="C218" s="88"/>
      <c r="D218" s="260"/>
      <c r="E218" s="243"/>
      <c r="F218" s="261"/>
      <c r="G218" s="243"/>
      <c r="H218" s="262"/>
      <c r="I218" s="243"/>
      <c r="J218" s="262"/>
      <c r="K218" s="88"/>
      <c r="L218" s="143">
        <f t="shared" si="38"/>
        <v>0</v>
      </c>
      <c r="N218" s="81"/>
      <c r="R218" s="79" t="str">
        <f t="shared" si="39"/>
        <v>NOT</v>
      </c>
      <c r="S218" s="79" t="str">
        <f t="shared" si="40"/>
        <v>NOT</v>
      </c>
      <c r="T218" s="79" t="str">
        <f t="shared" si="41"/>
        <v>NOT</v>
      </c>
      <c r="V218" s="79" t="str">
        <f t="shared" si="42"/>
        <v/>
      </c>
    </row>
    <row r="219" spans="1:22" x14ac:dyDescent="0.2">
      <c r="B219" s="259"/>
      <c r="C219" s="88"/>
      <c r="D219" s="260"/>
      <c r="E219" s="243"/>
      <c r="F219" s="261"/>
      <c r="G219" s="243"/>
      <c r="H219" s="262"/>
      <c r="I219" s="243"/>
      <c r="J219" s="262"/>
      <c r="K219" s="88"/>
      <c r="L219" s="143">
        <f t="shared" si="38"/>
        <v>0</v>
      </c>
      <c r="N219" s="81"/>
      <c r="R219" s="79" t="str">
        <f t="shared" si="39"/>
        <v>NOT</v>
      </c>
      <c r="S219" s="79" t="str">
        <f t="shared" si="40"/>
        <v>NOT</v>
      </c>
      <c r="T219" s="79" t="str">
        <f t="shared" si="41"/>
        <v>NOT</v>
      </c>
      <c r="V219" s="79" t="str">
        <f t="shared" si="42"/>
        <v/>
      </c>
    </row>
    <row r="220" spans="1:22" x14ac:dyDescent="0.2">
      <c r="B220" s="259"/>
      <c r="C220" s="88"/>
      <c r="D220" s="260"/>
      <c r="E220" s="243"/>
      <c r="F220" s="261"/>
      <c r="G220" s="243"/>
      <c r="H220" s="262"/>
      <c r="I220" s="243"/>
      <c r="J220" s="262"/>
      <c r="K220" s="88"/>
      <c r="L220" s="143">
        <f t="shared" si="38"/>
        <v>0</v>
      </c>
      <c r="N220" s="81"/>
      <c r="R220" s="79" t="str">
        <f t="shared" si="39"/>
        <v>NOT</v>
      </c>
      <c r="S220" s="79" t="str">
        <f t="shared" si="40"/>
        <v>NOT</v>
      </c>
      <c r="T220" s="79" t="str">
        <f t="shared" si="41"/>
        <v>NOT</v>
      </c>
      <c r="V220" s="79" t="str">
        <f t="shared" si="42"/>
        <v/>
      </c>
    </row>
    <row r="221" spans="1:22" x14ac:dyDescent="0.2">
      <c r="B221" s="259"/>
      <c r="C221" s="88"/>
      <c r="D221" s="260"/>
      <c r="E221" s="243"/>
      <c r="F221" s="261"/>
      <c r="G221" s="243"/>
      <c r="H221" s="262"/>
      <c r="I221" s="243"/>
      <c r="J221" s="262"/>
      <c r="K221" s="88"/>
      <c r="L221" s="143">
        <f t="shared" si="38"/>
        <v>0</v>
      </c>
      <c r="N221" s="81"/>
      <c r="R221" s="79" t="str">
        <f t="shared" si="39"/>
        <v>NOT</v>
      </c>
      <c r="S221" s="79" t="str">
        <f t="shared" si="40"/>
        <v>NOT</v>
      </c>
      <c r="T221" s="79" t="str">
        <f t="shared" si="41"/>
        <v>NOT</v>
      </c>
      <c r="V221" s="79" t="str">
        <f t="shared" si="42"/>
        <v/>
      </c>
    </row>
    <row r="222" spans="1:22" x14ac:dyDescent="0.2">
      <c r="B222" s="259"/>
      <c r="C222" s="88"/>
      <c r="D222" s="260"/>
      <c r="E222" s="243"/>
      <c r="F222" s="261"/>
      <c r="G222" s="243"/>
      <c r="H222" s="262"/>
      <c r="I222" s="243"/>
      <c r="J222" s="262"/>
      <c r="K222" s="88"/>
      <c r="L222" s="143">
        <f t="shared" si="38"/>
        <v>0</v>
      </c>
      <c r="N222" s="81"/>
      <c r="R222" s="79" t="str">
        <f t="shared" si="39"/>
        <v>NOT</v>
      </c>
      <c r="S222" s="79" t="str">
        <f t="shared" si="40"/>
        <v>NOT</v>
      </c>
      <c r="T222" s="79" t="str">
        <f t="shared" si="41"/>
        <v>NOT</v>
      </c>
      <c r="V222" s="79" t="str">
        <f t="shared" si="42"/>
        <v/>
      </c>
    </row>
    <row r="223" spans="1:22" x14ac:dyDescent="0.2">
      <c r="B223" s="259"/>
      <c r="C223" s="88"/>
      <c r="D223" s="260"/>
      <c r="E223" s="243"/>
      <c r="F223" s="261"/>
      <c r="G223" s="243"/>
      <c r="H223" s="262"/>
      <c r="I223" s="243"/>
      <c r="J223" s="262"/>
      <c r="K223" s="88"/>
      <c r="L223" s="143">
        <f t="shared" si="38"/>
        <v>0</v>
      </c>
      <c r="N223" s="81"/>
      <c r="R223" s="79" t="str">
        <f t="shared" si="39"/>
        <v>NOT</v>
      </c>
      <c r="S223" s="79" t="str">
        <f t="shared" si="40"/>
        <v>NOT</v>
      </c>
      <c r="T223" s="79" t="str">
        <f t="shared" si="41"/>
        <v>NOT</v>
      </c>
      <c r="V223" s="79" t="str">
        <f t="shared" si="42"/>
        <v/>
      </c>
    </row>
    <row r="224" spans="1:22" x14ac:dyDescent="0.2">
      <c r="B224" s="259"/>
      <c r="C224" s="88"/>
      <c r="D224" s="260"/>
      <c r="E224" s="243"/>
      <c r="F224" s="261"/>
      <c r="G224" s="243"/>
      <c r="H224" s="262"/>
      <c r="I224" s="243"/>
      <c r="J224" s="262"/>
      <c r="K224" s="88"/>
      <c r="L224" s="143">
        <f t="shared" si="38"/>
        <v>0</v>
      </c>
      <c r="N224" s="81"/>
      <c r="R224" s="79" t="str">
        <f t="shared" si="39"/>
        <v>NOT</v>
      </c>
      <c r="S224" s="79" t="str">
        <f t="shared" si="40"/>
        <v>NOT</v>
      </c>
      <c r="T224" s="79" t="str">
        <f t="shared" si="41"/>
        <v>NOT</v>
      </c>
      <c r="V224" s="79" t="str">
        <f t="shared" si="42"/>
        <v/>
      </c>
    </row>
    <row r="225" spans="1:22" x14ac:dyDescent="0.2">
      <c r="B225" s="104"/>
      <c r="C225" s="88"/>
      <c r="D225" s="81"/>
      <c r="F225" s="81"/>
      <c r="H225" s="81"/>
      <c r="J225" s="81"/>
      <c r="K225" s="88"/>
      <c r="L225" s="81"/>
      <c r="N225" s="227"/>
    </row>
    <row r="226" spans="1:22" ht="13.5" customHeight="1" x14ac:dyDescent="0.2">
      <c r="A226" s="276"/>
      <c r="B226" s="278" t="s">
        <v>302</v>
      </c>
      <c r="C226" s="249"/>
      <c r="D226" s="754" t="s">
        <v>300</v>
      </c>
      <c r="E226" s="755"/>
      <c r="F226" s="755"/>
      <c r="G226" s="755"/>
      <c r="H226" s="756"/>
      <c r="I226" s="250"/>
      <c r="J226" s="280" t="s">
        <v>18</v>
      </c>
      <c r="K226" s="88"/>
      <c r="L226" s="156">
        <f>IF(LEN(D1)&gt;5,1000,0)</f>
        <v>0</v>
      </c>
      <c r="M226" s="246"/>
      <c r="N226" s="147">
        <f>IF(L226=0,0%,L226/L$8)</f>
        <v>0</v>
      </c>
      <c r="R226" s="79" t="e">
        <f>IF(AND(#REF!="NOT",#REF!="NOT",#REF!="NOT"),"NOT",D226)</f>
        <v>#REF!</v>
      </c>
    </row>
    <row r="227" spans="1:22" x14ac:dyDescent="0.2">
      <c r="B227" s="104"/>
      <c r="C227" s="88"/>
      <c r="D227" s="81"/>
      <c r="F227" s="81"/>
      <c r="H227" s="81"/>
      <c r="J227" s="81"/>
      <c r="K227" s="88"/>
      <c r="L227" s="81"/>
      <c r="N227" s="227"/>
      <c r="R227" s="321" t="str">
        <f>LEFT('1. General Data'!E25,5)</f>
        <v>2.1.1</v>
      </c>
      <c r="S227" s="231">
        <f>IF('9. Project budget summary'!T41&gt;0,'9. Project budget summary'!T37/'9. Project budget summary'!T41,0)</f>
        <v>0.52183891467003807</v>
      </c>
      <c r="T227" s="231" t="s">
        <v>170</v>
      </c>
      <c r="U227" s="320" t="s">
        <v>26</v>
      </c>
      <c r="V227" s="271">
        <v>0.5</v>
      </c>
    </row>
    <row r="228" spans="1:22" ht="40.5" customHeight="1" x14ac:dyDescent="0.2">
      <c r="A228" s="247">
        <v>7</v>
      </c>
      <c r="B228" s="248" t="s">
        <v>299</v>
      </c>
      <c r="C228" s="249"/>
      <c r="D228" s="317"/>
      <c r="E228" s="327"/>
      <c r="F228" s="757"/>
      <c r="G228" s="758"/>
      <c r="H228" s="759"/>
      <c r="I228" s="250"/>
      <c r="J228" s="251" t="s">
        <v>18</v>
      </c>
      <c r="K228" s="249"/>
      <c r="L228" s="252">
        <f>L230+L248</f>
        <v>0</v>
      </c>
      <c r="M228" s="250"/>
      <c r="N228" s="253">
        <f>IF(L228=0,0%,L228/L$8)</f>
        <v>0</v>
      </c>
      <c r="O228" s="94"/>
      <c r="P228" s="95"/>
      <c r="Q228" s="321" t="e">
        <f>IF(R227=#REF!,IF(#REF!&gt;#REF!,D228,0),IF(AND(OR(R227=U228,R227=#REF!,R227=U229),N228&gt;V228),D228,0))</f>
        <v>#REF!</v>
      </c>
      <c r="R228" s="321">
        <f>IF(AND(R227=U227,S227&lt;V227),F228,0)</f>
        <v>0</v>
      </c>
      <c r="S228" s="231">
        <f>IF('9. Project budget summary'!T41&gt;0,'9. Project budget summary'!T37/'9. Project budget summary'!T41,0)</f>
        <v>0.52183891467003807</v>
      </c>
      <c r="T228" s="231" t="s">
        <v>171</v>
      </c>
      <c r="U228" s="320" t="s">
        <v>32</v>
      </c>
      <c r="V228" s="271">
        <v>0.7</v>
      </c>
    </row>
    <row r="229" spans="1:22" s="76" customFormat="1" ht="7.5" customHeight="1" x14ac:dyDescent="0.2">
      <c r="A229" s="87"/>
      <c r="B229" s="88"/>
      <c r="C229" s="88"/>
      <c r="D229" s="70"/>
      <c r="E229" s="70"/>
      <c r="F229" s="70"/>
      <c r="G229" s="70"/>
      <c r="H229" s="70"/>
      <c r="I229" s="70"/>
      <c r="J229" s="70"/>
      <c r="K229" s="88"/>
      <c r="L229" s="70"/>
      <c r="M229" s="70"/>
      <c r="N229" s="70"/>
      <c r="O229" s="89"/>
      <c r="S229" s="231">
        <f>IF('9. Project budget summary'!T41&gt;0,'9. Project budget summary'!T37/'9. Project budget summary'!T41,0)</f>
        <v>0.52183891467003807</v>
      </c>
      <c r="T229" s="231" t="s">
        <v>171</v>
      </c>
      <c r="U229" s="320" t="s">
        <v>24</v>
      </c>
      <c r="V229" s="271">
        <v>0.7</v>
      </c>
    </row>
    <row r="230" spans="1:22" ht="28.5" customHeight="1" x14ac:dyDescent="0.2">
      <c r="A230" s="276"/>
      <c r="B230" s="278" t="s">
        <v>303</v>
      </c>
      <c r="C230" s="277"/>
      <c r="D230" s="747" t="s">
        <v>166</v>
      </c>
      <c r="E230" s="748"/>
      <c r="F230" s="748"/>
      <c r="G230" s="748"/>
      <c r="H230" s="748"/>
      <c r="I230" s="279"/>
      <c r="J230" s="280" t="s">
        <v>18</v>
      </c>
      <c r="K230" s="88"/>
      <c r="L230" s="156">
        <f>SUM(L237:L246)</f>
        <v>0</v>
      </c>
      <c r="M230" s="246"/>
      <c r="N230" s="147">
        <f>IF(L230=0,0%,L230/L$8)</f>
        <v>0</v>
      </c>
      <c r="O230" s="495">
        <f>IF(LEN(R230)&gt;3,1,0)</f>
        <v>0</v>
      </c>
      <c r="R230" s="79" t="str">
        <f>IF(AND(R236="NOT",S236="NOT",T236="NOT"),"NOT",D230)</f>
        <v>NOT</v>
      </c>
      <c r="U230" s="328"/>
    </row>
    <row r="231" spans="1:22" s="76" customFormat="1" ht="3" customHeight="1" x14ac:dyDescent="0.2">
      <c r="A231" s="87"/>
      <c r="B231" s="88"/>
      <c r="C231" s="88"/>
      <c r="D231" s="70"/>
      <c r="E231" s="70"/>
      <c r="F231" s="70"/>
      <c r="G231" s="70"/>
      <c r="H231" s="70"/>
      <c r="I231" s="70"/>
      <c r="J231" s="70"/>
      <c r="K231" s="88"/>
      <c r="L231" s="70"/>
      <c r="M231" s="70"/>
      <c r="N231" s="70"/>
      <c r="O231" s="89"/>
      <c r="V231" s="79"/>
    </row>
    <row r="232" spans="1:22" ht="29.25" customHeight="1" x14ac:dyDescent="0.2">
      <c r="B232" s="749" t="s">
        <v>203</v>
      </c>
      <c r="C232" s="750"/>
      <c r="D232" s="750"/>
      <c r="E232" s="750"/>
      <c r="F232" s="750"/>
      <c r="H232" s="81"/>
      <c r="J232" s="81"/>
      <c r="K232" s="88"/>
      <c r="L232" s="81"/>
      <c r="N232" s="227"/>
      <c r="R232" s="79" t="str">
        <f>IF(AND(($L230&gt;0),ISBLANK(B234)),B232,"NOT")</f>
        <v>NOT</v>
      </c>
    </row>
    <row r="233" spans="1:22" ht="3" customHeight="1" x14ac:dyDescent="0.2">
      <c r="B233" s="104"/>
      <c r="C233" s="88"/>
      <c r="D233" s="81"/>
      <c r="F233" s="81"/>
      <c r="H233" s="81"/>
      <c r="J233" s="81"/>
      <c r="K233" s="88"/>
      <c r="L233" s="81"/>
      <c r="N233" s="227"/>
    </row>
    <row r="234" spans="1:22" ht="90" customHeight="1" x14ac:dyDescent="0.2">
      <c r="B234" s="744"/>
      <c r="C234" s="745"/>
      <c r="D234" s="745"/>
      <c r="E234" s="745"/>
      <c r="F234" s="745"/>
      <c r="G234" s="745"/>
      <c r="H234" s="745"/>
      <c r="I234" s="745"/>
      <c r="J234" s="745"/>
      <c r="K234" s="745"/>
      <c r="L234" s="746"/>
      <c r="M234" s="70" t="s">
        <v>19</v>
      </c>
      <c r="N234" s="227"/>
    </row>
    <row r="235" spans="1:22" ht="3.75" customHeight="1" x14ac:dyDescent="0.2">
      <c r="B235" s="104"/>
      <c r="C235" s="88"/>
      <c r="D235" s="81"/>
      <c r="F235" s="81"/>
      <c r="H235" s="81"/>
      <c r="J235" s="81"/>
      <c r="K235" s="88"/>
      <c r="L235" s="81"/>
      <c r="N235" s="227"/>
    </row>
    <row r="236" spans="1:22" ht="12.75" customHeight="1" x14ac:dyDescent="0.2">
      <c r="B236" s="244" t="s">
        <v>17</v>
      </c>
      <c r="C236" s="88"/>
      <c r="D236" s="244" t="s">
        <v>580</v>
      </c>
      <c r="F236" s="244" t="s">
        <v>205</v>
      </c>
      <c r="H236" s="244" t="s">
        <v>16</v>
      </c>
      <c r="J236" s="244" t="s">
        <v>15</v>
      </c>
      <c r="K236" s="245"/>
      <c r="L236" s="103" t="s">
        <v>141</v>
      </c>
      <c r="N236" s="81"/>
      <c r="R236" s="255" t="str">
        <f>IF(AND(R237="NOT",R238="NOT",R239="NOT",R240="NOT",R241="NOT",R242="NOT",R243="NOT",R244="NOT",R245="NOT",R246="NOT",R232="NOT"),"NOT",D230)</f>
        <v>NOT</v>
      </c>
      <c r="S236" s="255" t="str">
        <f>IF(AND(S237="NOT",S238="NOT",S239="NOT",S240="NOT",S241="NOT",S242="NOT",S243="NOT",S244="NOT",S245="NOT",S246="NOT",R232="NOT"),"NOT",D230)</f>
        <v>NOT</v>
      </c>
      <c r="T236" s="255" t="str">
        <f>IF(AND(T237="NOT",T238="NOT",T239="NOT",T240="NOT",T241="NOT",T242="NOT",T243="NOT",T244="NOT",T245="NOT",T246="NOT",R232="NOT"),"NOT",D230)</f>
        <v>NOT</v>
      </c>
    </row>
    <row r="237" spans="1:22" x14ac:dyDescent="0.2">
      <c r="B237" s="259"/>
      <c r="C237" s="88"/>
      <c r="D237" s="260"/>
      <c r="E237" s="243"/>
      <c r="F237" s="261"/>
      <c r="G237" s="243"/>
      <c r="H237" s="262"/>
      <c r="I237" s="243"/>
      <c r="J237" s="262"/>
      <c r="K237" s="88"/>
      <c r="L237" s="143">
        <f t="shared" ref="L237:L246" si="43">TRUNC(H237*J237,2)</f>
        <v>0</v>
      </c>
      <c r="N237" s="81"/>
      <c r="R237" s="79" t="str">
        <f t="shared" ref="R237:R246" si="44">IF(AND(($L237&gt;0),ISBLANK(B237)),B237,"NOT")</f>
        <v>NOT</v>
      </c>
      <c r="S237" s="79" t="str">
        <f t="shared" ref="S237:S246" si="45">IF(AND(($L237&gt;0),ISBLANK(D237)),D237,"NOT")</f>
        <v>NOT</v>
      </c>
      <c r="T237" s="79" t="str">
        <f t="shared" ref="T237:T246" si="46">IF(AND(($L237&gt;0),ISBLANK(F237)),F237,"NOT")</f>
        <v>NOT</v>
      </c>
      <c r="V237" s="79" t="str">
        <f t="shared" ref="V237:V246" si="47">LEFT(D237,3)</f>
        <v/>
      </c>
    </row>
    <row r="238" spans="1:22" x14ac:dyDescent="0.2">
      <c r="B238" s="259"/>
      <c r="C238" s="88"/>
      <c r="D238" s="260"/>
      <c r="E238" s="243"/>
      <c r="F238" s="261"/>
      <c r="G238" s="243"/>
      <c r="H238" s="262"/>
      <c r="I238" s="243"/>
      <c r="J238" s="262"/>
      <c r="K238" s="88"/>
      <c r="L238" s="143">
        <f t="shared" si="43"/>
        <v>0</v>
      </c>
      <c r="N238" s="81"/>
      <c r="R238" s="79" t="str">
        <f t="shared" si="44"/>
        <v>NOT</v>
      </c>
      <c r="S238" s="79" t="str">
        <f t="shared" si="45"/>
        <v>NOT</v>
      </c>
      <c r="T238" s="79" t="str">
        <f t="shared" si="46"/>
        <v>NOT</v>
      </c>
      <c r="V238" s="79" t="str">
        <f t="shared" si="47"/>
        <v/>
      </c>
    </row>
    <row r="239" spans="1:22" x14ac:dyDescent="0.2">
      <c r="B239" s="259"/>
      <c r="C239" s="88"/>
      <c r="D239" s="260"/>
      <c r="E239" s="243"/>
      <c r="F239" s="261"/>
      <c r="G239" s="243"/>
      <c r="H239" s="262"/>
      <c r="I239" s="243"/>
      <c r="J239" s="262"/>
      <c r="K239" s="88"/>
      <c r="L239" s="143">
        <f t="shared" si="43"/>
        <v>0</v>
      </c>
      <c r="N239" s="81"/>
      <c r="R239" s="79" t="str">
        <f t="shared" si="44"/>
        <v>NOT</v>
      </c>
      <c r="S239" s="79" t="str">
        <f t="shared" si="45"/>
        <v>NOT</v>
      </c>
      <c r="T239" s="79" t="str">
        <f t="shared" si="46"/>
        <v>NOT</v>
      </c>
      <c r="V239" s="79" t="str">
        <f t="shared" si="47"/>
        <v/>
      </c>
    </row>
    <row r="240" spans="1:22" x14ac:dyDescent="0.2">
      <c r="B240" s="259"/>
      <c r="C240" s="88"/>
      <c r="D240" s="260"/>
      <c r="E240" s="243"/>
      <c r="F240" s="261"/>
      <c r="G240" s="243"/>
      <c r="H240" s="262"/>
      <c r="I240" s="243"/>
      <c r="J240" s="262"/>
      <c r="K240" s="88"/>
      <c r="L240" s="143">
        <f t="shared" si="43"/>
        <v>0</v>
      </c>
      <c r="N240" s="81"/>
      <c r="R240" s="79" t="str">
        <f t="shared" si="44"/>
        <v>NOT</v>
      </c>
      <c r="S240" s="79" t="str">
        <f t="shared" si="45"/>
        <v>NOT</v>
      </c>
      <c r="T240" s="79" t="str">
        <f t="shared" si="46"/>
        <v>NOT</v>
      </c>
      <c r="V240" s="79" t="str">
        <f t="shared" si="47"/>
        <v/>
      </c>
    </row>
    <row r="241" spans="1:22" x14ac:dyDescent="0.2">
      <c r="B241" s="259"/>
      <c r="C241" s="88"/>
      <c r="D241" s="260"/>
      <c r="E241" s="243"/>
      <c r="F241" s="261"/>
      <c r="G241" s="243"/>
      <c r="H241" s="262"/>
      <c r="I241" s="243"/>
      <c r="J241" s="262"/>
      <c r="K241" s="88"/>
      <c r="L241" s="143">
        <f t="shared" si="43"/>
        <v>0</v>
      </c>
      <c r="N241" s="81"/>
      <c r="R241" s="79" t="str">
        <f t="shared" si="44"/>
        <v>NOT</v>
      </c>
      <c r="S241" s="79" t="str">
        <f t="shared" si="45"/>
        <v>NOT</v>
      </c>
      <c r="T241" s="79" t="str">
        <f t="shared" si="46"/>
        <v>NOT</v>
      </c>
      <c r="V241" s="79" t="str">
        <f t="shared" si="47"/>
        <v/>
      </c>
    </row>
    <row r="242" spans="1:22" x14ac:dyDescent="0.2">
      <c r="B242" s="259"/>
      <c r="C242" s="88"/>
      <c r="D242" s="260"/>
      <c r="E242" s="243"/>
      <c r="F242" s="261"/>
      <c r="G242" s="243"/>
      <c r="H242" s="262"/>
      <c r="I242" s="243"/>
      <c r="J242" s="262"/>
      <c r="K242" s="88"/>
      <c r="L242" s="143">
        <f t="shared" si="43"/>
        <v>0</v>
      </c>
      <c r="N242" s="81"/>
      <c r="R242" s="79" t="str">
        <f t="shared" si="44"/>
        <v>NOT</v>
      </c>
      <c r="S242" s="79" t="str">
        <f t="shared" si="45"/>
        <v>NOT</v>
      </c>
      <c r="T242" s="79" t="str">
        <f t="shared" si="46"/>
        <v>NOT</v>
      </c>
      <c r="V242" s="79" t="str">
        <f t="shared" si="47"/>
        <v/>
      </c>
    </row>
    <row r="243" spans="1:22" x14ac:dyDescent="0.2">
      <c r="B243" s="259"/>
      <c r="C243" s="88"/>
      <c r="D243" s="260"/>
      <c r="E243" s="243"/>
      <c r="F243" s="261"/>
      <c r="G243" s="243"/>
      <c r="H243" s="262"/>
      <c r="I243" s="243"/>
      <c r="J243" s="262"/>
      <c r="K243" s="88"/>
      <c r="L243" s="143">
        <f t="shared" si="43"/>
        <v>0</v>
      </c>
      <c r="N243" s="81"/>
      <c r="R243" s="79" t="str">
        <f t="shared" si="44"/>
        <v>NOT</v>
      </c>
      <c r="S243" s="79" t="str">
        <f t="shared" si="45"/>
        <v>NOT</v>
      </c>
      <c r="T243" s="79" t="str">
        <f t="shared" si="46"/>
        <v>NOT</v>
      </c>
      <c r="V243" s="79" t="str">
        <f t="shared" si="47"/>
        <v/>
      </c>
    </row>
    <row r="244" spans="1:22" x14ac:dyDescent="0.2">
      <c r="B244" s="259"/>
      <c r="C244" s="88"/>
      <c r="D244" s="260"/>
      <c r="E244" s="243"/>
      <c r="F244" s="261"/>
      <c r="G244" s="243"/>
      <c r="H244" s="262"/>
      <c r="I244" s="243"/>
      <c r="J244" s="262"/>
      <c r="K244" s="88"/>
      <c r="L244" s="143">
        <f t="shared" si="43"/>
        <v>0</v>
      </c>
      <c r="N244" s="81"/>
      <c r="R244" s="79" t="str">
        <f t="shared" si="44"/>
        <v>NOT</v>
      </c>
      <c r="S244" s="79" t="str">
        <f t="shared" si="45"/>
        <v>NOT</v>
      </c>
      <c r="T244" s="79" t="str">
        <f t="shared" si="46"/>
        <v>NOT</v>
      </c>
      <c r="V244" s="79" t="str">
        <f t="shared" si="47"/>
        <v/>
      </c>
    </row>
    <row r="245" spans="1:22" x14ac:dyDescent="0.2">
      <c r="B245" s="259"/>
      <c r="C245" s="88"/>
      <c r="D245" s="260"/>
      <c r="E245" s="243"/>
      <c r="F245" s="261"/>
      <c r="G245" s="243"/>
      <c r="H245" s="262"/>
      <c r="I245" s="243"/>
      <c r="J245" s="262"/>
      <c r="K245" s="88"/>
      <c r="L245" s="143">
        <f t="shared" si="43"/>
        <v>0</v>
      </c>
      <c r="N245" s="81"/>
      <c r="R245" s="79" t="str">
        <f t="shared" si="44"/>
        <v>NOT</v>
      </c>
      <c r="S245" s="79" t="str">
        <f t="shared" si="45"/>
        <v>NOT</v>
      </c>
      <c r="T245" s="79" t="str">
        <f t="shared" si="46"/>
        <v>NOT</v>
      </c>
      <c r="V245" s="79" t="str">
        <f t="shared" si="47"/>
        <v/>
      </c>
    </row>
    <row r="246" spans="1:22" x14ac:dyDescent="0.2">
      <c r="B246" s="259"/>
      <c r="C246" s="88"/>
      <c r="D246" s="260"/>
      <c r="E246" s="243"/>
      <c r="F246" s="261"/>
      <c r="G246" s="243"/>
      <c r="H246" s="262"/>
      <c r="I246" s="243"/>
      <c r="J246" s="262"/>
      <c r="K246" s="88"/>
      <c r="L246" s="143">
        <f t="shared" si="43"/>
        <v>0</v>
      </c>
      <c r="N246" s="81"/>
      <c r="R246" s="79" t="str">
        <f t="shared" si="44"/>
        <v>NOT</v>
      </c>
      <c r="S246" s="79" t="str">
        <f t="shared" si="45"/>
        <v>NOT</v>
      </c>
      <c r="T246" s="79" t="str">
        <f t="shared" si="46"/>
        <v>NOT</v>
      </c>
      <c r="V246" s="79" t="str">
        <f t="shared" si="47"/>
        <v/>
      </c>
    </row>
    <row r="247" spans="1:22" x14ac:dyDescent="0.2">
      <c r="B247" s="104"/>
      <c r="C247" s="88"/>
      <c r="D247" s="81"/>
      <c r="F247" s="81"/>
      <c r="H247" s="81"/>
      <c r="J247" s="81"/>
      <c r="K247" s="88"/>
      <c r="L247" s="81"/>
      <c r="N247" s="227"/>
    </row>
    <row r="248" spans="1:22" ht="13.5" customHeight="1" x14ac:dyDescent="0.2">
      <c r="A248" s="276"/>
      <c r="B248" s="278" t="s">
        <v>304</v>
      </c>
      <c r="C248" s="277"/>
      <c r="D248" s="747" t="s">
        <v>166</v>
      </c>
      <c r="E248" s="748"/>
      <c r="F248" s="748"/>
      <c r="G248" s="748"/>
      <c r="H248" s="748"/>
      <c r="I248" s="279"/>
      <c r="J248" s="280" t="s">
        <v>18</v>
      </c>
      <c r="K248" s="88"/>
      <c r="L248" s="156">
        <f>SUM(L255:L258)</f>
        <v>0</v>
      </c>
      <c r="M248" s="246"/>
      <c r="N248" s="147">
        <f>IF(L248=0,0%,L248/L$8)</f>
        <v>0</v>
      </c>
      <c r="O248" s="495">
        <f>IF(LEN(R248)&gt;3,1,0)</f>
        <v>0</v>
      </c>
      <c r="P248" s="270">
        <v>0.1</v>
      </c>
      <c r="Q248" s="231" t="str">
        <f>IF('9. Project budget summary'!X39=1,B249,"")</f>
        <v/>
      </c>
      <c r="R248" s="79" t="str">
        <f>IF(AND(R254="NOT",S254="NOT",T254="NOT"),"NOT",D248)</f>
        <v>NOT</v>
      </c>
    </row>
    <row r="249" spans="1:22" s="76" customFormat="1" ht="27" customHeight="1" x14ac:dyDescent="0.2">
      <c r="A249" s="87"/>
      <c r="B249" s="752" t="s">
        <v>643</v>
      </c>
      <c r="C249" s="753"/>
      <c r="D249" s="753"/>
      <c r="E249" s="753"/>
      <c r="F249" s="753"/>
      <c r="G249" s="753"/>
      <c r="H249" s="753"/>
      <c r="I249" s="753"/>
      <c r="J249" s="753"/>
      <c r="K249" s="88"/>
      <c r="L249" s="70"/>
      <c r="M249" s="70"/>
      <c r="N249" s="70"/>
      <c r="O249" s="495">
        <f>IF(LEN(Q248)&gt;3,1,0)</f>
        <v>0</v>
      </c>
      <c r="Q249" s="272"/>
      <c r="V249" s="79"/>
    </row>
    <row r="250" spans="1:22" x14ac:dyDescent="0.2">
      <c r="B250" s="742" t="s">
        <v>197</v>
      </c>
      <c r="C250" s="743"/>
      <c r="D250" s="743"/>
      <c r="E250" s="743"/>
      <c r="F250" s="743"/>
      <c r="H250" s="81"/>
      <c r="J250" s="81"/>
      <c r="K250" s="88"/>
      <c r="L250" s="81"/>
      <c r="N250" s="227"/>
      <c r="R250" s="79" t="str">
        <f>IF(AND(($L248&gt;0),ISBLANK(B252)),B250,"NOT")</f>
        <v>NOT</v>
      </c>
    </row>
    <row r="251" spans="1:22" ht="3" customHeight="1" x14ac:dyDescent="0.2">
      <c r="B251" s="104"/>
      <c r="C251" s="88"/>
      <c r="D251" s="81"/>
      <c r="F251" s="81"/>
      <c r="H251" s="81"/>
      <c r="J251" s="81"/>
      <c r="K251" s="88"/>
      <c r="L251" s="81"/>
      <c r="N251" s="227"/>
    </row>
    <row r="252" spans="1:22" ht="48" customHeight="1" x14ac:dyDescent="0.2">
      <c r="B252" s="744"/>
      <c r="C252" s="745"/>
      <c r="D252" s="745"/>
      <c r="E252" s="745"/>
      <c r="F252" s="745"/>
      <c r="G252" s="745"/>
      <c r="H252" s="745"/>
      <c r="I252" s="745"/>
      <c r="J252" s="745"/>
      <c r="K252" s="745"/>
      <c r="L252" s="746"/>
      <c r="M252" s="70" t="s">
        <v>19</v>
      </c>
      <c r="N252" s="227"/>
    </row>
    <row r="253" spans="1:22" ht="3.75" customHeight="1" x14ac:dyDescent="0.2">
      <c r="B253" s="104"/>
      <c r="C253" s="88"/>
      <c r="D253" s="81"/>
      <c r="F253" s="81"/>
      <c r="H253" s="81"/>
      <c r="J253" s="81"/>
      <c r="K253" s="88"/>
      <c r="L253" s="81"/>
      <c r="N253" s="227"/>
    </row>
    <row r="254" spans="1:22" ht="12.75" customHeight="1" x14ac:dyDescent="0.2">
      <c r="B254" s="244" t="s">
        <v>17</v>
      </c>
      <c r="C254" s="88"/>
      <c r="D254" s="244" t="s">
        <v>580</v>
      </c>
      <c r="F254" s="244" t="s">
        <v>205</v>
      </c>
      <c r="H254" s="244" t="s">
        <v>16</v>
      </c>
      <c r="J254" s="244" t="s">
        <v>15</v>
      </c>
      <c r="K254" s="245"/>
      <c r="L254" s="103" t="s">
        <v>141</v>
      </c>
      <c r="N254" s="81"/>
      <c r="R254" s="255" t="str">
        <f>IF(AND(R255="NOT",R256="NOT",R257="NOT",R258="NOT",R250="NOT"),"NOT",D248)</f>
        <v>NOT</v>
      </c>
      <c r="S254" s="255" t="str">
        <f>IF(AND(S255="NOT",S256="NOT",S257="NOT",S258="NOT",R250="NOT"),"NOT",D248)</f>
        <v>NOT</v>
      </c>
      <c r="T254" s="255" t="str">
        <f>IF(AND(T255="NOT",T256="NOT",T257="NOT",T258="NOT",R250="NOT"),"NOT",D248)</f>
        <v>NOT</v>
      </c>
    </row>
    <row r="255" spans="1:22" x14ac:dyDescent="0.2">
      <c r="B255" s="259"/>
      <c r="C255" s="88"/>
      <c r="D255" s="260"/>
      <c r="E255" s="243"/>
      <c r="F255" s="261"/>
      <c r="G255" s="243"/>
      <c r="H255" s="262"/>
      <c r="I255" s="243"/>
      <c r="J255" s="262"/>
      <c r="K255" s="88"/>
      <c r="L255" s="143">
        <f>TRUNC(H255*J255,2)</f>
        <v>0</v>
      </c>
      <c r="N255" s="81"/>
      <c r="R255" s="79" t="str">
        <f>IF(AND(($L255&gt;0),ISBLANK(B255)),B255,"NOT")</f>
        <v>NOT</v>
      </c>
      <c r="S255" s="79" t="str">
        <f>IF(AND(($L255&gt;0),ISBLANK(D255)),D255,"NOT")</f>
        <v>NOT</v>
      </c>
      <c r="T255" s="79" t="str">
        <f>IF(AND(($L255&gt;0),ISBLANK(F255)),F255,"NOT")</f>
        <v>NOT</v>
      </c>
      <c r="V255" s="79" t="str">
        <f>LEFT(D255,3)</f>
        <v/>
      </c>
    </row>
    <row r="256" spans="1:22" x14ac:dyDescent="0.2">
      <c r="B256" s="259"/>
      <c r="C256" s="88"/>
      <c r="D256" s="260"/>
      <c r="E256" s="243"/>
      <c r="F256" s="261"/>
      <c r="G256" s="243"/>
      <c r="H256" s="262"/>
      <c r="I256" s="243"/>
      <c r="J256" s="262"/>
      <c r="K256" s="88"/>
      <c r="L256" s="143">
        <f>TRUNC(H256*J256,2)</f>
        <v>0</v>
      </c>
      <c r="N256" s="81"/>
      <c r="R256" s="79" t="str">
        <f>IF(AND(($L256&gt;0),ISBLANK(B256)),B256,"NOT")</f>
        <v>NOT</v>
      </c>
      <c r="S256" s="79" t="str">
        <f>IF(AND(($L256&gt;0),ISBLANK(D256)),D256,"NOT")</f>
        <v>NOT</v>
      </c>
      <c r="T256" s="79" t="str">
        <f>IF(AND(($L256&gt;0),ISBLANK(F256)),F256,"NOT")</f>
        <v>NOT</v>
      </c>
      <c r="V256" s="79" t="str">
        <f>LEFT(D256,3)</f>
        <v/>
      </c>
    </row>
    <row r="257" spans="1:22" x14ac:dyDescent="0.2">
      <c r="B257" s="259"/>
      <c r="C257" s="88"/>
      <c r="D257" s="260"/>
      <c r="E257" s="243"/>
      <c r="F257" s="261"/>
      <c r="G257" s="243"/>
      <c r="H257" s="262"/>
      <c r="I257" s="243"/>
      <c r="J257" s="262"/>
      <c r="K257" s="88"/>
      <c r="L257" s="143">
        <f>TRUNC(H257*J257,2)</f>
        <v>0</v>
      </c>
      <c r="N257" s="81"/>
      <c r="R257" s="79" t="str">
        <f>IF(AND(($L257&gt;0),ISBLANK(B257)),B257,"NOT")</f>
        <v>NOT</v>
      </c>
      <c r="S257" s="79" t="str">
        <f>IF(AND(($L257&gt;0),ISBLANK(D257)),D257,"NOT")</f>
        <v>NOT</v>
      </c>
      <c r="T257" s="79" t="str">
        <f>IF(AND(($L257&gt;0),ISBLANK(F257)),F257,"NOT")</f>
        <v>NOT</v>
      </c>
      <c r="V257" s="79" t="str">
        <f>LEFT(D257,3)</f>
        <v/>
      </c>
    </row>
    <row r="258" spans="1:22" x14ac:dyDescent="0.2">
      <c r="B258" s="259"/>
      <c r="C258" s="88"/>
      <c r="D258" s="260"/>
      <c r="E258" s="243"/>
      <c r="F258" s="261"/>
      <c r="G258" s="243"/>
      <c r="H258" s="262"/>
      <c r="I258" s="243"/>
      <c r="J258" s="262"/>
      <c r="K258" s="88"/>
      <c r="L258" s="143">
        <f>TRUNC(H258*J258,2)</f>
        <v>0</v>
      </c>
      <c r="N258" s="81"/>
      <c r="R258" s="79" t="str">
        <f>IF(AND(($L258&gt;0),ISBLANK(B258)),B258,"NOT")</f>
        <v>NOT</v>
      </c>
      <c r="S258" s="79" t="str">
        <f>IF(AND(($L258&gt;0),ISBLANK(D258)),D258,"NOT")</f>
        <v>NOT</v>
      </c>
      <c r="T258" s="79" t="str">
        <f>IF(AND(($L258&gt;0),ISBLANK(F258)),F258,"NOT")</f>
        <v>NOT</v>
      </c>
      <c r="V258" s="79" t="str">
        <f>LEFT(D258,3)</f>
        <v/>
      </c>
    </row>
    <row r="259" spans="1:22" s="76" customFormat="1" ht="12.75" customHeight="1" x14ac:dyDescent="0.2">
      <c r="A259" s="87"/>
      <c r="B259" s="88"/>
      <c r="C259" s="88"/>
      <c r="D259" s="70"/>
      <c r="E259" s="70"/>
      <c r="F259" s="70"/>
      <c r="G259" s="70"/>
      <c r="H259" s="70"/>
      <c r="I259" s="70"/>
      <c r="J259" s="70"/>
      <c r="K259" s="88"/>
      <c r="L259" s="70"/>
      <c r="M259" s="70"/>
      <c r="N259" s="70"/>
      <c r="O259" s="89"/>
      <c r="V259" s="79"/>
    </row>
    <row r="260" spans="1:22" ht="18" customHeight="1" x14ac:dyDescent="0.2">
      <c r="A260" s="263"/>
      <c r="B260" s="264"/>
      <c r="C260" s="265"/>
      <c r="D260" s="266"/>
      <c r="E260" s="267"/>
      <c r="F260" s="266"/>
      <c r="G260" s="267"/>
      <c r="H260" s="266"/>
      <c r="I260" s="267"/>
      <c r="J260" s="266"/>
      <c r="K260" s="265"/>
      <c r="L260" s="266"/>
      <c r="M260" s="267"/>
      <c r="N260" s="268"/>
    </row>
    <row r="261" spans="1:22" hidden="1" x14ac:dyDescent="0.2"/>
    <row r="262" spans="1:22" ht="25.5" hidden="1" x14ac:dyDescent="0.2">
      <c r="C262" s="44" t="str">
        <f>LEFT(D262,3)</f>
        <v xml:space="preserve">1. </v>
      </c>
      <c r="D262" s="465" t="str">
        <f>CONCATENATE('6. Project Activities'!A10," ",'6. Project Activities'!B10)</f>
        <v>1. Project administration and management</v>
      </c>
      <c r="L262" s="44">
        <f t="shared" ref="L262:L285" si="48">SUMIF($V$11:$V$259,C262,$L$11:$L$259)</f>
        <v>0</v>
      </c>
    </row>
    <row r="263" spans="1:22" hidden="1" x14ac:dyDescent="0.2">
      <c r="C263" s="44" t="str">
        <f t="shared" ref="C263:C285" si="49">LEFT(D263,3)</f>
        <v xml:space="preserve">2. </v>
      </c>
      <c r="D263" s="465" t="str">
        <f>CONCATENATE('6. Project Activities'!A11," ",'6. Project Activities'!B11)</f>
        <v>2. Information and publicity</v>
      </c>
      <c r="L263" s="44">
        <f t="shared" si="48"/>
        <v>0</v>
      </c>
    </row>
    <row r="264" spans="1:22" ht="38.25" hidden="1" x14ac:dyDescent="0.2">
      <c r="C264" s="44" t="str">
        <f t="shared" si="49"/>
        <v xml:space="preserve">3. </v>
      </c>
      <c r="D264" s="465" t="str">
        <f>CONCATENATE('6. Project Activities'!A12," ",'6. Project Activities'!B12)</f>
        <v>3. Activity 3.1: Organisation of project conferences and regular press conferences</v>
      </c>
      <c r="L264" s="44">
        <f t="shared" si="48"/>
        <v>0</v>
      </c>
    </row>
    <row r="265" spans="1:22" ht="38.25" hidden="1" x14ac:dyDescent="0.2">
      <c r="C265" s="44" t="str">
        <f t="shared" si="49"/>
        <v xml:space="preserve">4. </v>
      </c>
      <c r="D265" s="465" t="str">
        <f>CONCATENATE('6. Project Activities'!A13," ",'6. Project Activities'!B13)</f>
        <v>4. Activity 3.2: Creation and regular updating of project website, project presence in Social media</v>
      </c>
      <c r="L265" s="44">
        <f t="shared" si="48"/>
        <v>0</v>
      </c>
    </row>
    <row r="266" spans="1:22" ht="25.5" hidden="1" x14ac:dyDescent="0.2">
      <c r="C266" s="44" t="str">
        <f t="shared" si="49"/>
        <v xml:space="preserve">5. </v>
      </c>
      <c r="D266" s="465" t="str">
        <f>CONCATENATE('6. Project Activities'!A14," ",'6. Project Activities'!B14)</f>
        <v>5. Activity 3.3: Development of multilingual mobile App</v>
      </c>
      <c r="L266" s="44">
        <f t="shared" si="48"/>
        <v>0</v>
      </c>
    </row>
    <row r="267" spans="1:22" ht="38.25" hidden="1" x14ac:dyDescent="0.2">
      <c r="C267" s="44" t="str">
        <f t="shared" si="49"/>
        <v xml:space="preserve">6. </v>
      </c>
      <c r="D267" s="465" t="str">
        <f>CONCATENATE('6. Project Activities'!A15," ",'6. Project Activities'!B15)</f>
        <v>6. Activity 3.4: Organisation of local and cross-border events for cyclists</v>
      </c>
      <c r="L267" s="44">
        <f t="shared" si="48"/>
        <v>0</v>
      </c>
    </row>
    <row r="268" spans="1:22" ht="38.25" hidden="1" x14ac:dyDescent="0.2">
      <c r="C268" s="44" t="str">
        <f t="shared" si="49"/>
        <v xml:space="preserve">7. </v>
      </c>
      <c r="D268" s="465" t="str">
        <f>CONCATENATE('6. Project Activities'!A16," ",'6. Project Activities'!B16)</f>
        <v>7. Activity 3.5: Organisation of Summer Cycling Camp for primary school kids in Croatia</v>
      </c>
      <c r="L268" s="44">
        <f t="shared" si="48"/>
        <v>0</v>
      </c>
    </row>
    <row r="269" spans="1:22" ht="38.25" hidden="1" x14ac:dyDescent="0.2">
      <c r="C269" s="44" t="str">
        <f t="shared" si="49"/>
        <v xml:space="preserve">8. </v>
      </c>
      <c r="D269" s="465" t="str">
        <f>CONCATENATE('6. Project Activities'!A17," ",'6. Project Activities'!B17)</f>
        <v>8. Activity 3.6: Organisation of “Safety in traffic for cyclists” workshops</v>
      </c>
      <c r="L269" s="44">
        <f t="shared" si="48"/>
        <v>0</v>
      </c>
    </row>
    <row r="270" spans="1:22" ht="38.25" hidden="1" x14ac:dyDescent="0.2">
      <c r="C270" s="44" t="str">
        <f t="shared" si="49"/>
        <v xml:space="preserve">9. </v>
      </c>
      <c r="D270" s="465" t="str">
        <f>CONCATENATE('6. Project Activities'!A18," ",'6. Project Activities'!B18)</f>
        <v>9. Activity 4.1: Development of missing sections of the bicycle routes in Ludbreg area</v>
      </c>
      <c r="L270" s="44">
        <f t="shared" si="48"/>
        <v>0</v>
      </c>
    </row>
    <row r="271" spans="1:22" ht="38.25" hidden="1" x14ac:dyDescent="0.2">
      <c r="C271" s="44" t="str">
        <f t="shared" si="49"/>
        <v>10.</v>
      </c>
      <c r="D271" s="465" t="str">
        <f>CONCATENATE('6. Project Activities'!A19," ",'6. Project Activities'!B19)</f>
        <v>10. Activity 4.2: Adaptation and arrangement of the part of a local road Ludbreg</v>
      </c>
      <c r="L271" s="44">
        <f t="shared" si="48"/>
        <v>0</v>
      </c>
    </row>
    <row r="272" spans="1:22" ht="25.5" hidden="1" x14ac:dyDescent="0.2">
      <c r="C272" s="44" t="str">
        <f t="shared" si="49"/>
        <v>11.</v>
      </c>
      <c r="D272" s="465" t="str">
        <f>CONCATENATE('6. Project Activities'!A20," ",'6. Project Activities'!B20)</f>
        <v>11. Activity 4.3: Establishment of Cyclist Centre in Letenye</v>
      </c>
      <c r="L272" s="44">
        <f t="shared" si="48"/>
        <v>0</v>
      </c>
    </row>
    <row r="273" spans="3:12" ht="51" hidden="1" x14ac:dyDescent="0.2">
      <c r="C273" s="44" t="str">
        <f t="shared" si="49"/>
        <v>12.</v>
      </c>
      <c r="D273" s="465" t="str">
        <f>CONCATENATE('6. Project Activities'!A21," ",'6. Project Activities'!B21)</f>
        <v>12. Activity 4.4: Preparation of technical documentation for obtaining a building permit for bike paths" - Draškovec Oporovec</v>
      </c>
      <c r="L273" s="44">
        <f t="shared" si="48"/>
        <v>0</v>
      </c>
    </row>
    <row r="274" spans="3:12" ht="38.25" hidden="1" x14ac:dyDescent="0.2">
      <c r="C274" s="44" t="str">
        <f t="shared" si="49"/>
        <v>13.</v>
      </c>
      <c r="D274" s="465" t="str">
        <f>CONCATENATE('6. Project Activities'!A22," ",'6. Project Activities'!B22)</f>
        <v>13. Activity 4.5: Adaptation/reconstruction of the restplace for cyclist in Oporovec</v>
      </c>
      <c r="L274" s="44">
        <f t="shared" si="48"/>
        <v>0</v>
      </c>
    </row>
    <row r="275" spans="3:12" ht="51" hidden="1" x14ac:dyDescent="0.2">
      <c r="C275" s="44" t="str">
        <f t="shared" si="49"/>
        <v>14.</v>
      </c>
      <c r="D275" s="465" t="str">
        <f>CONCATENATE('6. Project Activities'!A23," ",'6. Project Activities'!B23)</f>
        <v>14. Activity 4.6: Establishment of restplaces, info points and installation of information boards alongside the bicycle routes</v>
      </c>
      <c r="L275" s="44">
        <f t="shared" si="48"/>
        <v>0</v>
      </c>
    </row>
    <row r="276" spans="3:12" hidden="1" x14ac:dyDescent="0.2">
      <c r="C276" s="44" t="str">
        <f t="shared" si="49"/>
        <v>15.</v>
      </c>
      <c r="D276" s="465" t="str">
        <f>CONCATENATE('6. Project Activities'!A24," ",'6. Project Activities'!B24)</f>
        <v xml:space="preserve">15. </v>
      </c>
      <c r="L276" s="44">
        <f t="shared" si="48"/>
        <v>0</v>
      </c>
    </row>
    <row r="277" spans="3:12" hidden="1" x14ac:dyDescent="0.2">
      <c r="C277" s="44" t="str">
        <f t="shared" si="49"/>
        <v>16.</v>
      </c>
      <c r="D277" s="465" t="str">
        <f>CONCATENATE('6. Project Activities'!A25," ",'6. Project Activities'!B25)</f>
        <v xml:space="preserve">16. </v>
      </c>
      <c r="L277" s="44">
        <f t="shared" si="48"/>
        <v>0</v>
      </c>
    </row>
    <row r="278" spans="3:12" hidden="1" x14ac:dyDescent="0.2">
      <c r="C278" s="44" t="str">
        <f t="shared" si="49"/>
        <v>17.</v>
      </c>
      <c r="D278" s="465" t="str">
        <f>CONCATENATE('6. Project Activities'!A26," ",'6. Project Activities'!B26)</f>
        <v xml:space="preserve">17. </v>
      </c>
      <c r="L278" s="44">
        <f t="shared" si="48"/>
        <v>0</v>
      </c>
    </row>
    <row r="279" spans="3:12" hidden="1" x14ac:dyDescent="0.2">
      <c r="C279" s="44" t="str">
        <f t="shared" si="49"/>
        <v>18.</v>
      </c>
      <c r="D279" s="465" t="str">
        <f>CONCATENATE('6. Project Activities'!A27," ",'6. Project Activities'!B27)</f>
        <v xml:space="preserve">18. </v>
      </c>
      <c r="L279" s="44">
        <f t="shared" si="48"/>
        <v>0</v>
      </c>
    </row>
    <row r="280" spans="3:12" hidden="1" x14ac:dyDescent="0.2">
      <c r="C280" s="44" t="str">
        <f t="shared" si="49"/>
        <v>19.</v>
      </c>
      <c r="D280" s="465" t="str">
        <f>CONCATENATE('6. Project Activities'!A28," ",'6. Project Activities'!B28)</f>
        <v xml:space="preserve">19. </v>
      </c>
      <c r="L280" s="44">
        <f t="shared" si="48"/>
        <v>0</v>
      </c>
    </row>
    <row r="281" spans="3:12" hidden="1" x14ac:dyDescent="0.2">
      <c r="C281" s="44" t="str">
        <f t="shared" si="49"/>
        <v>20.</v>
      </c>
      <c r="D281" s="465" t="str">
        <f>CONCATENATE('6. Project Activities'!A29," ",'6. Project Activities'!B29)</f>
        <v xml:space="preserve">20. </v>
      </c>
      <c r="L281" s="44">
        <f t="shared" si="48"/>
        <v>0</v>
      </c>
    </row>
    <row r="282" spans="3:12" hidden="1" x14ac:dyDescent="0.2">
      <c r="C282" s="44" t="str">
        <f t="shared" si="49"/>
        <v>21.</v>
      </c>
      <c r="D282" s="465" t="str">
        <f>CONCATENATE('6. Project Activities'!A30," ",'6. Project Activities'!B30)</f>
        <v xml:space="preserve">21. </v>
      </c>
      <c r="L282" s="44">
        <f t="shared" si="48"/>
        <v>0</v>
      </c>
    </row>
    <row r="283" spans="3:12" hidden="1" x14ac:dyDescent="0.2">
      <c r="C283" s="44" t="str">
        <f t="shared" si="49"/>
        <v>22.</v>
      </c>
      <c r="D283" s="465" t="str">
        <f>CONCATENATE('6. Project Activities'!A31," ",'6. Project Activities'!B31)</f>
        <v xml:space="preserve">22. </v>
      </c>
      <c r="L283" s="44">
        <f t="shared" si="48"/>
        <v>0</v>
      </c>
    </row>
    <row r="284" spans="3:12" hidden="1" x14ac:dyDescent="0.2">
      <c r="C284" s="44" t="str">
        <f t="shared" si="49"/>
        <v>23.</v>
      </c>
      <c r="D284" s="465" t="str">
        <f>CONCATENATE('6. Project Activities'!A32," ",'6. Project Activities'!B32)</f>
        <v xml:space="preserve">23. </v>
      </c>
      <c r="L284" s="44">
        <f t="shared" si="48"/>
        <v>0</v>
      </c>
    </row>
    <row r="285" spans="3:12" hidden="1" x14ac:dyDescent="0.2">
      <c r="C285" s="44" t="str">
        <f t="shared" si="49"/>
        <v>24.</v>
      </c>
      <c r="D285" s="465" t="str">
        <f>CONCATENATE('6. Project Activities'!A33," ",'6. Project Activities'!B33)</f>
        <v xml:space="preserve">24. </v>
      </c>
      <c r="L285" s="44">
        <f t="shared" si="48"/>
        <v>0</v>
      </c>
    </row>
    <row r="286" spans="3:12" x14ac:dyDescent="0.2">
      <c r="C286" s="44"/>
    </row>
    <row r="287" spans="3:12" x14ac:dyDescent="0.2">
      <c r="C287" s="44"/>
    </row>
    <row r="288" spans="3:12" x14ac:dyDescent="0.2">
      <c r="C288" s="44"/>
    </row>
    <row r="289" spans="3:3" x14ac:dyDescent="0.2">
      <c r="C289" s="44"/>
    </row>
    <row r="290" spans="3:3" x14ac:dyDescent="0.2">
      <c r="C290" s="44"/>
    </row>
    <row r="291" spans="3:3" x14ac:dyDescent="0.2">
      <c r="C291" s="44"/>
    </row>
  </sheetData>
  <sheetProtection password="F58B" sheet="1" objects="1" scenarios="1" selectLockedCells="1"/>
  <mergeCells count="60">
    <mergeCell ref="B103:F103"/>
    <mergeCell ref="B105:L105"/>
    <mergeCell ref="B15:L15"/>
    <mergeCell ref="D112:H112"/>
    <mergeCell ref="B18:F18"/>
    <mergeCell ref="B20:L20"/>
    <mergeCell ref="D40:H40"/>
    <mergeCell ref="D42:H42"/>
    <mergeCell ref="D44:H44"/>
    <mergeCell ref="B46:F46"/>
    <mergeCell ref="B48:L48"/>
    <mergeCell ref="D80:H80"/>
    <mergeCell ref="B82:F82"/>
    <mergeCell ref="B84:L84"/>
    <mergeCell ref="D99:H99"/>
    <mergeCell ref="D101:H101"/>
    <mergeCell ref="D62:H62"/>
    <mergeCell ref="B64:F64"/>
    <mergeCell ref="B66:L66"/>
    <mergeCell ref="A1:B1"/>
    <mergeCell ref="D1:N1"/>
    <mergeCell ref="D14:H14"/>
    <mergeCell ref="D16:H16"/>
    <mergeCell ref="B17:L17"/>
    <mergeCell ref="D10:H10"/>
    <mergeCell ref="D3:N3"/>
    <mergeCell ref="D5:N5"/>
    <mergeCell ref="D12:H12"/>
    <mergeCell ref="D8:H8"/>
    <mergeCell ref="B116:L116"/>
    <mergeCell ref="D130:H130"/>
    <mergeCell ref="B114:F114"/>
    <mergeCell ref="B132:F132"/>
    <mergeCell ref="B134:L134"/>
    <mergeCell ref="D148:H148"/>
    <mergeCell ref="B149:L149"/>
    <mergeCell ref="B150:F150"/>
    <mergeCell ref="B152:L152"/>
    <mergeCell ref="D162:H162"/>
    <mergeCell ref="B164:F164"/>
    <mergeCell ref="B166:L166"/>
    <mergeCell ref="D174:H174"/>
    <mergeCell ref="B176:F176"/>
    <mergeCell ref="B178:L178"/>
    <mergeCell ref="D192:H192"/>
    <mergeCell ref="B194:F194"/>
    <mergeCell ref="B196:L196"/>
    <mergeCell ref="D206:H206"/>
    <mergeCell ref="D208:H208"/>
    <mergeCell ref="B210:F210"/>
    <mergeCell ref="D248:H248"/>
    <mergeCell ref="B249:J249"/>
    <mergeCell ref="B250:F250"/>
    <mergeCell ref="B252:L252"/>
    <mergeCell ref="B212:L212"/>
    <mergeCell ref="D226:H226"/>
    <mergeCell ref="F228:H228"/>
    <mergeCell ref="D230:H230"/>
    <mergeCell ref="B232:F232"/>
    <mergeCell ref="B234:L234"/>
  </mergeCells>
  <phoneticPr fontId="3" type="noConversion"/>
  <conditionalFormatting sqref="D16:H16 B18:F18 D62:H62 D44:H44 B64:F64 B46:F46 D80:H80 B82:F82 D112:H112 D101:H101 B114:F114 B103:F103 D130:H130 B132:F132 D148:H148 B150:F150 D162:H162 B164:F164 D174:H174 D192:H192 D208:H208 B210:F210 D248:H248 D230:H230 B250:F250 B232:F232">
    <cfRule type="cellIs" dxfId="139" priority="9" stopIfTrue="1" operator="equal">
      <formula>$R16</formula>
    </cfRule>
  </conditionalFormatting>
  <conditionalFormatting sqref="D12:H12 D99:H99 D228:E228">
    <cfRule type="cellIs" dxfId="138" priority="10" stopIfTrue="1" operator="equal">
      <formula>$Q12</formula>
    </cfRule>
  </conditionalFormatting>
  <conditionalFormatting sqref="B149:L149">
    <cfRule type="cellIs" dxfId="137" priority="13" stopIfTrue="1" operator="equal">
      <formula>$Q$149</formula>
    </cfRule>
  </conditionalFormatting>
  <conditionalFormatting sqref="B17:L17">
    <cfRule type="cellIs" dxfId="136" priority="14" stopIfTrue="1" operator="equal">
      <formula>$Q$17</formula>
    </cfRule>
  </conditionalFormatting>
  <conditionalFormatting sqref="D8:H8">
    <cfRule type="cellIs" dxfId="135" priority="18" stopIfTrue="1" operator="equal">
      <formula>O$8</formula>
    </cfRule>
  </conditionalFormatting>
  <conditionalFormatting sqref="F228:H228">
    <cfRule type="cellIs" dxfId="134" priority="19" stopIfTrue="1" operator="equal">
      <formula>$R$228</formula>
    </cfRule>
  </conditionalFormatting>
  <conditionalFormatting sqref="D206:H206">
    <cfRule type="cellIs" dxfId="133" priority="20" stopIfTrue="1" operator="equal">
      <formula>$Q$206</formula>
    </cfRule>
  </conditionalFormatting>
  <conditionalFormatting sqref="D14:H14">
    <cfRule type="cellIs" dxfId="132" priority="8" stopIfTrue="1" operator="equal">
      <formula>$Q14</formula>
    </cfRule>
  </conditionalFormatting>
  <conditionalFormatting sqref="D42:H42">
    <cfRule type="cellIs" dxfId="131" priority="4" stopIfTrue="1" operator="equal">
      <formula>$Q42</formula>
    </cfRule>
  </conditionalFormatting>
  <conditionalFormatting sqref="B249:J249">
    <cfRule type="cellIs" dxfId="130" priority="3" stopIfTrue="1" operator="equal">
      <formula>$Q$248</formula>
    </cfRule>
  </conditionalFormatting>
  <conditionalFormatting sqref="B194:F194">
    <cfRule type="cellIs" dxfId="129" priority="2" stopIfTrue="1" operator="equal">
      <formula>$R194</formula>
    </cfRule>
  </conditionalFormatting>
  <conditionalFormatting sqref="B176:F176">
    <cfRule type="cellIs" dxfId="128" priority="1" stopIfTrue="1" operator="equal">
      <formula>$R176</formula>
    </cfRule>
  </conditionalFormatting>
  <dataValidations count="5">
    <dataValidation type="list" allowBlank="1" showInputMessage="1" showErrorMessage="1" sqref="D14:H14">
      <formula1>$V$14:$V$16</formula1>
    </dataValidation>
    <dataValidation type="decimal" operator="greaterThanOrEqual" allowBlank="1" showInputMessage="1" showErrorMessage="1" sqref="H237:H246 H199:H203 J169:J172 H169:H172 J155:J160 H137:H146 H108:H110 J108:J110 H87:H96 J87:J96 H69:H78 J69:J78 H51:H60 J51:J60 J23:J37 H23:H37 J137:J146 H119:H128 H155:H160 J119:J128 H181:H190 J181:J190 H215:H224 J215:J224 J199:J203 J237:J246 H255:H258 J255:J258">
      <formula1>0</formula1>
    </dataValidation>
    <dataValidation type="list" allowBlank="1" showInputMessage="1" showErrorMessage="1" sqref="D199:D203 D255:D258 D237:D246 D215:D224 D108:D110 D87:D96 D69:D78 D23:D37 D51:D60 D119:D128 D137:D146 D155:D160 D169:D172 D181:D190">
      <formula1>$D$262:$D$285</formula1>
    </dataValidation>
    <dataValidation type="decimal" allowBlank="1" showInputMessage="1" showErrorMessage="1" sqref="L260 D260 H260 J260 F260 L230 L232:L233 D233 F233 F235 L235 D235 J235 H232:H233 L247:L248 D247 L250:L251 F247 J247 H247 D251 H235 J232:J233 N236:N246 F251 F253 L253 D253 J253 H250:H251 H253 J250:J251 F227 D227 H227 J227 L194:L195 D195 F195 F197 L197 D197 J197 H194:H195 H197 J194:J195 N198:N203 H191 J191 F191 L191:L192 D191 L164:L165 D165 F165 F167 L167 D167 J167 H164:H165 H167 J164:J165 N168:N172 N154:N160 L111:L112 D111 L114:L115 F111 J111 H111 D115 F115 F117 L117 D117 J117 H114:H115 H117 J114:J115 N118:N128 L130 L132:L133 D133 F133 F135 L135 D135 J135 H132:H133 H135 J132:J133 N107:N110 J103:J104 H106 H103:H104 J106 D106 L106 F106 F104 D104 L103:L104 L101 D97:D98 H97:H98 J97:J98 F97:F98 L97:L98 J82:J83 H85 H82:H83 J85 D85 L85 F85 F83 D83 L82:L83 L80 N68:N78 J64:J65 H67 H64:H65 J67 D67 L67 F67 F65 N50:N60 J46:J47 H49 D65 H61 J61 F61 L64:L65 D61 L61:L62 H46:H47 J49 D49 L49 F49 F47 D47 L46:L47 L44 N86:N96 D41 H41 J41 F41 N254:N258 L16 H18:H19 D11 H11 J11 F11 L11 D19 L18:L19 H21 J18:J19 J21 D21 L21 F21 N136:N146 J150:J151 H153 H150:H151 J153 D153 L153 F153 F151 D151 L150:L151 L148 F19 J176:J177 H179 H176:H177 J179 D179 L179 F179 F177 D177 L176:L177 L174 N180:N190 H204:H205 D204:D205 L204:L205 F204:F205 J204:J205 N214:N224 J210:J211 H213 H225 J225 F225 D225 L225:L227 H210:H211 J213 D213 L213 F213 F211 D211 L210:L211 L208 N22:N37 F38:F39 J38:J39 H38:H39 D38:D39 L38:L39 L41 L162 L14">
      <formula1>0</formula1>
      <formula2>99999999.99</formula2>
    </dataValidation>
    <dataValidation type="whole" allowBlank="1" showInputMessage="1" showErrorMessage="1" sqref="L10">
      <formula1>0</formula1>
      <formula2>3000</formula2>
    </dataValidation>
  </dataValidations>
  <pageMargins left="0.6692913385826772" right="0.15748031496062992" top="0.31496062992125984" bottom="0.31496062992125984" header="0.15748031496062992" footer="0.11811023622047245"/>
  <pageSetup scale="82" fitToHeight="12" orientation="landscape"/>
  <headerFooter>
    <oddFooter xml:space="preserve">&amp;C&amp;"Arial,Italic"&amp;A&amp;R&amp;"Arial,Italic"Page &amp;P of &amp;N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5"/>
  <sheetViews>
    <sheetView topLeftCell="A7" zoomScaleNormal="85" zoomScalePageLayoutView="85" workbookViewId="0">
      <selection sqref="A1:V1"/>
    </sheetView>
  </sheetViews>
  <sheetFormatPr defaultColWidth="9.140625" defaultRowHeight="12.75" x14ac:dyDescent="0.2"/>
  <cols>
    <col min="1" max="1" width="3.7109375" style="80" customWidth="1"/>
    <col min="2" max="2" width="43.140625" style="44" customWidth="1"/>
    <col min="3" max="3" width="0.42578125" style="44" customWidth="1"/>
    <col min="4" max="4" width="13.7109375" style="44" customWidth="1"/>
    <col min="5" max="5" width="0.42578125" style="44" customWidth="1"/>
    <col min="6" max="6" width="13.7109375" style="44" customWidth="1"/>
    <col min="7" max="7" width="0.42578125" style="44" customWidth="1"/>
    <col min="8" max="8" width="13.7109375" style="44" customWidth="1"/>
    <col min="9" max="9" width="0.42578125" style="44" customWidth="1"/>
    <col min="10" max="10" width="13.7109375" style="44" customWidth="1"/>
    <col min="11" max="11" width="0.42578125" style="44" customWidth="1"/>
    <col min="12" max="12" width="13.7109375" style="44" customWidth="1"/>
    <col min="13" max="13" width="0.42578125" style="44" customWidth="1"/>
    <col min="14" max="14" width="13.7109375" style="44" customWidth="1"/>
    <col min="15" max="15" width="0.42578125" style="44" customWidth="1"/>
    <col min="16" max="16" width="13.7109375" style="44" customWidth="1"/>
    <col min="17" max="17" width="0.42578125" style="44" customWidth="1"/>
    <col min="18" max="18" width="13.7109375" style="44" customWidth="1"/>
    <col min="19" max="19" width="0.42578125" style="44" customWidth="1"/>
    <col min="20" max="20" width="13.7109375" style="44" customWidth="1"/>
    <col min="21" max="21" width="0.42578125" style="44" customWidth="1"/>
    <col min="22" max="22" width="9.7109375" style="44" customWidth="1"/>
    <col min="23" max="23" width="0.42578125" style="44" customWidth="1"/>
    <col min="24" max="24" width="0" style="79" hidden="1" customWidth="1"/>
    <col min="25" max="16384" width="9.140625" style="79"/>
  </cols>
  <sheetData>
    <row r="1" spans="1:23" ht="22.5" customHeight="1" x14ac:dyDescent="0.2">
      <c r="A1" s="738" t="s">
        <v>332</v>
      </c>
      <c r="B1" s="738"/>
      <c r="C1" s="738"/>
      <c r="D1" s="738"/>
      <c r="E1" s="738"/>
      <c r="F1" s="738"/>
      <c r="G1" s="738"/>
      <c r="H1" s="738"/>
      <c r="I1" s="738"/>
      <c r="J1" s="738"/>
      <c r="K1" s="738"/>
      <c r="L1" s="738"/>
      <c r="M1" s="738"/>
      <c r="N1" s="738"/>
      <c r="O1" s="738"/>
      <c r="P1" s="738"/>
      <c r="Q1" s="738"/>
      <c r="R1" s="738"/>
      <c r="S1" s="738"/>
      <c r="T1" s="738"/>
      <c r="U1" s="738"/>
      <c r="V1" s="738"/>
      <c r="W1" s="100"/>
    </row>
    <row r="3" spans="1:23" x14ac:dyDescent="0.2">
      <c r="B3" s="201" t="str">
        <f>'1. General Data'!R12</f>
        <v>HUHR/1601/</v>
      </c>
      <c r="D3" s="203" t="s">
        <v>321</v>
      </c>
      <c r="F3" s="718" t="str">
        <f>T('1. General Data'!E25:O25)</f>
        <v>2.1.1. Bicycle paths</v>
      </c>
      <c r="G3" s="734"/>
      <c r="H3" s="734"/>
      <c r="I3" s="734"/>
      <c r="J3" s="734"/>
      <c r="K3" s="734"/>
      <c r="L3" s="734"/>
      <c r="M3" s="734"/>
      <c r="N3" s="734"/>
      <c r="O3" s="734"/>
      <c r="P3" s="734"/>
      <c r="Q3" s="734"/>
      <c r="R3" s="734"/>
      <c r="S3" s="734"/>
      <c r="T3" s="734"/>
      <c r="U3" s="734"/>
      <c r="V3" s="735"/>
    </row>
    <row r="4" spans="1:23" ht="6" customHeight="1" x14ac:dyDescent="0.2"/>
    <row r="5" spans="1:23" x14ac:dyDescent="0.2">
      <c r="B5" s="203" t="s">
        <v>139</v>
      </c>
      <c r="D5" s="807" t="str">
        <f>T('1. General Data'!C14:M14)</f>
        <v>Happy Bike</v>
      </c>
      <c r="E5" s="734"/>
      <c r="F5" s="734"/>
      <c r="G5" s="734"/>
      <c r="H5" s="735"/>
      <c r="I5" s="202"/>
      <c r="J5" s="817" t="s">
        <v>138</v>
      </c>
      <c r="K5" s="817"/>
      <c r="L5" s="817"/>
      <c r="M5" s="206"/>
      <c r="N5" s="718" t="str">
        <f>T('2. LB data'!C9:F9)</f>
        <v>Letenye</v>
      </c>
      <c r="O5" s="734"/>
      <c r="P5" s="734"/>
      <c r="Q5" s="734"/>
      <c r="R5" s="734"/>
      <c r="S5" s="734"/>
      <c r="T5" s="734"/>
      <c r="U5" s="734"/>
      <c r="V5" s="735"/>
    </row>
    <row r="6" spans="1:23" x14ac:dyDescent="0.2">
      <c r="B6" s="101"/>
      <c r="C6" s="101"/>
    </row>
    <row r="7" spans="1:23" x14ac:dyDescent="0.2">
      <c r="A7" s="811" t="s">
        <v>178</v>
      </c>
      <c r="B7" s="812"/>
      <c r="D7" s="808" t="s">
        <v>179</v>
      </c>
      <c r="E7" s="809"/>
      <c r="F7" s="809"/>
      <c r="G7" s="809"/>
      <c r="H7" s="809"/>
      <c r="I7" s="809"/>
      <c r="J7" s="809"/>
      <c r="K7" s="809"/>
      <c r="L7" s="809"/>
      <c r="M7" s="815"/>
      <c r="N7" s="815"/>
      <c r="O7" s="815"/>
      <c r="P7" s="815"/>
      <c r="Q7" s="815"/>
      <c r="R7" s="816"/>
      <c r="T7" s="808" t="s">
        <v>136</v>
      </c>
      <c r="U7" s="809"/>
      <c r="V7" s="810"/>
    </row>
    <row r="8" spans="1:23" ht="25.5" x14ac:dyDescent="0.2">
      <c r="A8" s="813"/>
      <c r="B8" s="814"/>
      <c r="C8" s="102"/>
      <c r="D8" s="86" t="s">
        <v>64</v>
      </c>
      <c r="E8" s="77"/>
      <c r="F8" s="86" t="s">
        <v>337</v>
      </c>
      <c r="G8" s="77"/>
      <c r="H8" s="86" t="s">
        <v>338</v>
      </c>
      <c r="I8" s="77"/>
      <c r="J8" s="86" t="s">
        <v>339</v>
      </c>
      <c r="K8" s="77"/>
      <c r="L8" s="86" t="s">
        <v>340</v>
      </c>
      <c r="M8" s="77"/>
      <c r="N8" s="86" t="s">
        <v>341</v>
      </c>
      <c r="O8" s="77"/>
      <c r="P8" s="86" t="s">
        <v>342</v>
      </c>
      <c r="Q8" s="77"/>
      <c r="R8" s="86" t="s">
        <v>343</v>
      </c>
      <c r="S8" s="77"/>
      <c r="T8" s="86" t="s">
        <v>179</v>
      </c>
      <c r="U8" s="77"/>
      <c r="V8" s="86" t="s">
        <v>137</v>
      </c>
      <c r="W8" s="242"/>
    </row>
    <row r="9" spans="1:23" ht="51.75" customHeight="1" x14ac:dyDescent="0.2">
      <c r="A9" s="358"/>
      <c r="B9" s="358"/>
      <c r="C9" s="305"/>
      <c r="D9" s="359" t="str">
        <f>'8 LB budget'!$P5</f>
        <v>Letenye Város Önkormányzata</v>
      </c>
      <c r="E9" s="114"/>
      <c r="F9" s="359" t="str">
        <f>'8. B1 budget'!$P5</f>
        <v xml:space="preserve">Grad Prelog </v>
      </c>
      <c r="G9" s="114"/>
      <c r="H9" s="359" t="str">
        <f>'8. B2 budget'!$P5</f>
        <v>Grad Ludbreg</v>
      </c>
      <c r="I9" s="114"/>
      <c r="J9" s="359" t="str">
        <f>'8. B3 budget'!$P5</f>
        <v>Županijska uprava za ceste Varaždinske županije</v>
      </c>
      <c r="K9" s="114"/>
      <c r="L9" s="359" t="str">
        <f>'8. B4 budget'!$P5</f>
        <v/>
      </c>
      <c r="M9" s="114"/>
      <c r="N9" s="359" t="str">
        <f>'8. B5 budget'!$P5</f>
        <v/>
      </c>
      <c r="O9" s="114"/>
      <c r="P9" s="359" t="str">
        <f>'8. B6 budget'!$P5</f>
        <v/>
      </c>
      <c r="Q9" s="114"/>
      <c r="R9" s="359" t="str">
        <f>'8. B7 budget'!$P5</f>
        <v/>
      </c>
      <c r="S9" s="114"/>
      <c r="T9" s="359"/>
      <c r="U9" s="114"/>
      <c r="V9" s="359"/>
      <c r="W9" s="114"/>
    </row>
    <row r="10" spans="1:23" ht="3" customHeight="1" x14ac:dyDescent="0.2">
      <c r="B10" s="104"/>
      <c r="C10" s="104"/>
    </row>
    <row r="11" spans="1:23" x14ac:dyDescent="0.2">
      <c r="A11" s="67">
        <v>1</v>
      </c>
      <c r="B11" s="68" t="s">
        <v>60</v>
      </c>
      <c r="C11" s="43"/>
      <c r="D11" s="143">
        <f>'8 LB budget'!$L10</f>
        <v>3000</v>
      </c>
      <c r="E11" s="78"/>
      <c r="F11" s="143">
        <f>'8. B1 budget'!$L10</f>
        <v>0</v>
      </c>
      <c r="G11" s="78"/>
      <c r="H11" s="143">
        <f>'8. B2 budget'!$L10</f>
        <v>0</v>
      </c>
      <c r="I11" s="78"/>
      <c r="J11" s="143">
        <f>'8. B3 budget'!$L10</f>
        <v>0</v>
      </c>
      <c r="K11" s="78"/>
      <c r="L11" s="143">
        <f>'8. B4 budget'!$L10</f>
        <v>0</v>
      </c>
      <c r="M11" s="78"/>
      <c r="N11" s="143">
        <f>'8. B5 budget'!$L10</f>
        <v>0</v>
      </c>
      <c r="O11" s="78"/>
      <c r="P11" s="143">
        <f>'8. B6 budget'!$L10</f>
        <v>0</v>
      </c>
      <c r="Q11" s="78"/>
      <c r="R11" s="143">
        <f>'8. B7 budget'!$L10</f>
        <v>0</v>
      </c>
      <c r="S11" s="78"/>
      <c r="T11" s="156">
        <f>D11+F11+H11+J11+L11+N11+P11+R11</f>
        <v>3000</v>
      </c>
      <c r="U11" s="78"/>
      <c r="V11" s="144">
        <f>IF(T$41=0,0%,T11/T$41)</f>
        <v>2.9436136095031622E-3</v>
      </c>
    </row>
    <row r="12" spans="1:23" ht="3" customHeight="1" x14ac:dyDescent="0.2">
      <c r="B12" s="104"/>
      <c r="C12" s="104"/>
      <c r="D12" s="78"/>
      <c r="E12" s="78"/>
      <c r="F12" s="78"/>
      <c r="G12" s="78"/>
      <c r="H12" s="78"/>
      <c r="I12" s="78"/>
      <c r="J12" s="78"/>
      <c r="K12" s="78"/>
      <c r="L12" s="78"/>
      <c r="M12" s="78"/>
      <c r="N12" s="78"/>
      <c r="O12" s="78"/>
      <c r="P12" s="78"/>
      <c r="Q12" s="78"/>
      <c r="R12" s="78"/>
      <c r="S12" s="78"/>
      <c r="T12" s="78"/>
      <c r="U12" s="78"/>
      <c r="V12" s="78"/>
    </row>
    <row r="13" spans="1:23" x14ac:dyDescent="0.2">
      <c r="A13" s="67">
        <v>2</v>
      </c>
      <c r="B13" s="68" t="s">
        <v>285</v>
      </c>
      <c r="C13" s="43"/>
      <c r="D13" s="143">
        <f>SUM(D14:D15)</f>
        <v>7000</v>
      </c>
      <c r="E13" s="78"/>
      <c r="F13" s="143">
        <f>SUM(F14:F15)</f>
        <v>28000</v>
      </c>
      <c r="G13" s="78"/>
      <c r="H13" s="143">
        <f>SUM(H14:H15)</f>
        <v>12000</v>
      </c>
      <c r="I13" s="78"/>
      <c r="J13" s="143">
        <f>SUM(J14:J15)</f>
        <v>3000</v>
      </c>
      <c r="K13" s="78"/>
      <c r="L13" s="143">
        <f>SUM(L14:L15)</f>
        <v>0</v>
      </c>
      <c r="M13" s="78"/>
      <c r="N13" s="143">
        <f>SUM(N14:N15)</f>
        <v>0</v>
      </c>
      <c r="O13" s="78"/>
      <c r="P13" s="143">
        <f>SUM(P14:P15)</f>
        <v>0</v>
      </c>
      <c r="Q13" s="78"/>
      <c r="R13" s="143">
        <f>SUM(R14:R15)</f>
        <v>0</v>
      </c>
      <c r="S13" s="78"/>
      <c r="T13" s="143">
        <f>SUM(T14:T15)</f>
        <v>50000</v>
      </c>
      <c r="U13" s="78"/>
      <c r="V13" s="144">
        <f>IF(T$41=0,0%,T13/T$41)</f>
        <v>4.9060226825052705E-2</v>
      </c>
    </row>
    <row r="14" spans="1:23" ht="25.5" x14ac:dyDescent="0.2">
      <c r="B14" s="92" t="str">
        <f>'8 LB budget'!B14</f>
        <v>2.1 Salary of staff (project management and team members) - Calculation on Flat rate basis</v>
      </c>
      <c r="C14" s="104"/>
      <c r="D14" s="145">
        <f>'8 LB budget'!$L14</f>
        <v>0</v>
      </c>
      <c r="E14" s="78"/>
      <c r="F14" s="145">
        <f>'8. B1 budget'!$L14</f>
        <v>0</v>
      </c>
      <c r="G14" s="78"/>
      <c r="H14" s="145">
        <f>'8. B2 budget'!$L14</f>
        <v>0</v>
      </c>
      <c r="I14" s="78"/>
      <c r="J14" s="145">
        <f>'8. B3 budget'!$L14</f>
        <v>0</v>
      </c>
      <c r="K14" s="78"/>
      <c r="L14" s="145">
        <f>'8. B4 budget'!$L14</f>
        <v>0</v>
      </c>
      <c r="M14" s="78"/>
      <c r="N14" s="145">
        <f>'8. B5 budget'!$L14</f>
        <v>0</v>
      </c>
      <c r="O14" s="78"/>
      <c r="P14" s="145">
        <f>'8. B6 budget'!$L14</f>
        <v>0</v>
      </c>
      <c r="Q14" s="78"/>
      <c r="R14" s="145">
        <f>'8. B7 budget'!$L14</f>
        <v>0</v>
      </c>
      <c r="S14" s="78"/>
      <c r="T14" s="146">
        <f>D14+F14+H14+J14+L14+N14+P14+R14</f>
        <v>0</v>
      </c>
      <c r="U14" s="78"/>
      <c r="V14" s="147">
        <f>IF(T$41=0,0%,T14/T$41)</f>
        <v>0</v>
      </c>
    </row>
    <row r="15" spans="1:23" ht="25.5" x14ac:dyDescent="0.2">
      <c r="A15" s="93"/>
      <c r="B15" s="92" t="str">
        <f>'8 LB budget'!B16</f>
        <v>2.2 Salary of staff (project management and team members) - Calculation on Real costs basis</v>
      </c>
      <c r="C15" s="104"/>
      <c r="D15" s="145">
        <f>'8 LB budget'!$L16</f>
        <v>7000</v>
      </c>
      <c r="E15" s="78"/>
      <c r="F15" s="145">
        <f>'8. B1 budget'!$L16</f>
        <v>28000</v>
      </c>
      <c r="G15" s="78"/>
      <c r="H15" s="145">
        <f>'8. B2 budget'!$L16</f>
        <v>12000</v>
      </c>
      <c r="I15" s="78"/>
      <c r="J15" s="145">
        <f>'8. B3 budget'!$L16</f>
        <v>3000</v>
      </c>
      <c r="K15" s="78"/>
      <c r="L15" s="145">
        <f>'8. B4 budget'!$L16</f>
        <v>0</v>
      </c>
      <c r="M15" s="78"/>
      <c r="N15" s="145">
        <f>'8. B5 budget'!$L16</f>
        <v>0</v>
      </c>
      <c r="O15" s="78"/>
      <c r="P15" s="145">
        <f>'8. B6 budget'!$L16</f>
        <v>0</v>
      </c>
      <c r="Q15" s="78"/>
      <c r="R15" s="145">
        <f>'8. B7 budget'!$L16</f>
        <v>0</v>
      </c>
      <c r="S15" s="78"/>
      <c r="T15" s="146">
        <f>D15+F15+H15+J15+L15+N15+P15+R15</f>
        <v>50000</v>
      </c>
      <c r="U15" s="78"/>
      <c r="V15" s="147">
        <f>IF(T$41=0,0%,T15/T$41)</f>
        <v>4.9060226825052705E-2</v>
      </c>
    </row>
    <row r="16" spans="1:23" s="85" customFormat="1" ht="3" customHeight="1" x14ac:dyDescent="0.2">
      <c r="A16" s="46"/>
      <c r="B16" s="104"/>
      <c r="C16" s="104"/>
      <c r="D16" s="78"/>
      <c r="E16" s="78"/>
      <c r="F16" s="78"/>
      <c r="G16" s="78"/>
      <c r="H16" s="78"/>
      <c r="I16" s="78"/>
      <c r="J16" s="78"/>
      <c r="K16" s="78"/>
      <c r="L16" s="78"/>
      <c r="M16" s="78"/>
      <c r="N16" s="78"/>
      <c r="O16" s="78"/>
      <c r="P16" s="78"/>
      <c r="Q16" s="78"/>
      <c r="R16" s="78"/>
      <c r="S16" s="78"/>
      <c r="T16" s="78"/>
      <c r="U16" s="78"/>
      <c r="V16" s="78"/>
      <c r="W16" s="44"/>
    </row>
    <row r="17" spans="1:23" s="85" customFormat="1" x14ac:dyDescent="0.2">
      <c r="A17" s="69">
        <v>3</v>
      </c>
      <c r="B17" s="68" t="str">
        <f>'8 LB budget'!B40</f>
        <v>Office and administrative expenditure</v>
      </c>
      <c r="C17" s="43"/>
      <c r="D17" s="156">
        <f>'8 LB budget'!$L40</f>
        <v>1050</v>
      </c>
      <c r="E17" s="78"/>
      <c r="F17" s="156">
        <f>'8. B1 budget'!$L40</f>
        <v>4200</v>
      </c>
      <c r="G17" s="78"/>
      <c r="H17" s="156">
        <f>'8. B2 budget'!$L40</f>
        <v>1800</v>
      </c>
      <c r="I17" s="78"/>
      <c r="J17" s="156">
        <f>'8. B3 budget'!$L40</f>
        <v>450</v>
      </c>
      <c r="K17" s="78"/>
      <c r="L17" s="156">
        <f>'8. B4 budget'!$L40</f>
        <v>0</v>
      </c>
      <c r="M17" s="78"/>
      <c r="N17" s="156">
        <f>'8. B5 budget'!$L40</f>
        <v>0</v>
      </c>
      <c r="O17" s="78"/>
      <c r="P17" s="156">
        <f>'8. B6 budget'!$L40</f>
        <v>0</v>
      </c>
      <c r="Q17" s="78"/>
      <c r="R17" s="156">
        <f>'8. B7 budget'!$L40</f>
        <v>0</v>
      </c>
      <c r="S17" s="78"/>
      <c r="T17" s="156">
        <f>D17+F17+H17+J17+L17+N17+P17+R17</f>
        <v>7500</v>
      </c>
      <c r="U17" s="78"/>
      <c r="V17" s="144">
        <f>IF(T$41=0,0%,T17/T$41)</f>
        <v>7.3590340237579058E-3</v>
      </c>
      <c r="W17" s="44"/>
    </row>
    <row r="18" spans="1:23" ht="3" customHeight="1" x14ac:dyDescent="0.2">
      <c r="B18" s="104"/>
      <c r="C18" s="104"/>
      <c r="D18" s="78"/>
      <c r="E18" s="78"/>
      <c r="F18" s="78"/>
      <c r="G18" s="78"/>
      <c r="H18" s="78"/>
      <c r="I18" s="78"/>
      <c r="J18" s="78"/>
      <c r="K18" s="78"/>
      <c r="L18" s="78"/>
      <c r="M18" s="78"/>
      <c r="N18" s="78"/>
      <c r="O18" s="78"/>
      <c r="P18" s="78"/>
      <c r="Q18" s="78"/>
      <c r="R18" s="78"/>
      <c r="S18" s="78"/>
      <c r="T18" s="78"/>
      <c r="U18" s="78"/>
      <c r="V18" s="78"/>
    </row>
    <row r="19" spans="1:23" x14ac:dyDescent="0.2">
      <c r="A19" s="67">
        <v>4</v>
      </c>
      <c r="B19" s="68" t="str">
        <f>'8 LB budget'!B42</f>
        <v>Travel and accommodation costs</v>
      </c>
      <c r="C19" s="43"/>
      <c r="D19" s="143">
        <f>SUM(D20:D22)</f>
        <v>0</v>
      </c>
      <c r="E19" s="78"/>
      <c r="F19" s="143">
        <f>SUM(F20:F22)</f>
        <v>345</v>
      </c>
      <c r="G19" s="78"/>
      <c r="H19" s="143">
        <f>SUM(H20:H22)</f>
        <v>448.5</v>
      </c>
      <c r="I19" s="78"/>
      <c r="J19" s="143">
        <f>SUM(J20:J22)</f>
        <v>724.5</v>
      </c>
      <c r="K19" s="78"/>
      <c r="L19" s="143">
        <f>SUM(L20:L22)</f>
        <v>0</v>
      </c>
      <c r="M19" s="78"/>
      <c r="N19" s="143">
        <f>SUM(N20:N22)</f>
        <v>0</v>
      </c>
      <c r="O19" s="78"/>
      <c r="P19" s="143">
        <f>SUM(P20:P22)</f>
        <v>0</v>
      </c>
      <c r="Q19" s="78"/>
      <c r="R19" s="143">
        <f>SUM(R20:R22)</f>
        <v>0</v>
      </c>
      <c r="S19" s="78"/>
      <c r="T19" s="143">
        <f>SUM(T20:T22)</f>
        <v>1518</v>
      </c>
      <c r="U19" s="78"/>
      <c r="V19" s="144">
        <f>IF(T$41=0,0%,T19/T$41)</f>
        <v>1.4894684864086001E-3</v>
      </c>
    </row>
    <row r="20" spans="1:23" x14ac:dyDescent="0.2">
      <c r="B20" s="92" t="str">
        <f>'8 LB budget'!B44</f>
        <v xml:space="preserve">4.1 Travel cost of project staff </v>
      </c>
      <c r="C20" s="104"/>
      <c r="D20" s="145">
        <f>'8 LB budget'!$L44</f>
        <v>0</v>
      </c>
      <c r="E20" s="78"/>
      <c r="F20" s="145">
        <f>'8. B1 budget'!$L44</f>
        <v>345</v>
      </c>
      <c r="G20" s="78"/>
      <c r="H20" s="145">
        <f>'8. B2 budget'!$L44</f>
        <v>448.5</v>
      </c>
      <c r="I20" s="78"/>
      <c r="J20" s="145">
        <f>'8. B3 budget'!$L44</f>
        <v>724.5</v>
      </c>
      <c r="K20" s="78"/>
      <c r="L20" s="145">
        <f>'8. B4 budget'!$L44</f>
        <v>0</v>
      </c>
      <c r="M20" s="78"/>
      <c r="N20" s="145">
        <f>'8. B5 budget'!$L44</f>
        <v>0</v>
      </c>
      <c r="O20" s="78"/>
      <c r="P20" s="145">
        <f>'8. B6 budget'!$L44</f>
        <v>0</v>
      </c>
      <c r="Q20" s="78"/>
      <c r="R20" s="145">
        <f>'8. B7 budget'!$L44</f>
        <v>0</v>
      </c>
      <c r="S20" s="78"/>
      <c r="T20" s="146">
        <f>D20+F20+H20+J20+L20+N20+P20+R20</f>
        <v>1518</v>
      </c>
      <c r="U20" s="78"/>
      <c r="V20" s="147">
        <f>IF(T$41=0,0%,T20/T$41)</f>
        <v>1.4894684864086001E-3</v>
      </c>
    </row>
    <row r="21" spans="1:23" s="85" customFormat="1" x14ac:dyDescent="0.2">
      <c r="A21" s="80"/>
      <c r="B21" s="92" t="str">
        <f>'8 LB budget'!B62</f>
        <v>4.2 Accommodation costs</v>
      </c>
      <c r="C21" s="104"/>
      <c r="D21" s="145">
        <f>'8 LB budget'!$L62</f>
        <v>0</v>
      </c>
      <c r="E21" s="78"/>
      <c r="F21" s="145">
        <f>'8. B1 budget'!$L62</f>
        <v>0</v>
      </c>
      <c r="G21" s="78"/>
      <c r="H21" s="145">
        <f>'8. B2 budget'!$L62</f>
        <v>0</v>
      </c>
      <c r="I21" s="78"/>
      <c r="J21" s="145">
        <f>'8. B3 budget'!$L62</f>
        <v>0</v>
      </c>
      <c r="K21" s="78"/>
      <c r="L21" s="145">
        <f>'8. B4 budget'!$L62</f>
        <v>0</v>
      </c>
      <c r="M21" s="78"/>
      <c r="N21" s="145">
        <f>'8. B5 budget'!$L62</f>
        <v>0</v>
      </c>
      <c r="O21" s="78"/>
      <c r="P21" s="145">
        <f>'8. B6 budget'!$L62</f>
        <v>0</v>
      </c>
      <c r="Q21" s="78"/>
      <c r="R21" s="145">
        <f>'8. B7 budget'!$L62</f>
        <v>0</v>
      </c>
      <c r="S21" s="78"/>
      <c r="T21" s="146">
        <f>D21+F21+H21+J21+L21+N21+P21+R21</f>
        <v>0</v>
      </c>
      <c r="U21" s="78"/>
      <c r="V21" s="147">
        <f>IF(T$41=0,0%,T21/T$41)</f>
        <v>0</v>
      </c>
      <c r="W21" s="44"/>
    </row>
    <row r="22" spans="1:23" s="85" customFormat="1" ht="12.75" customHeight="1" x14ac:dyDescent="0.2">
      <c r="A22" s="93"/>
      <c r="B22" s="96" t="str">
        <f>'8 LB budget'!B80</f>
        <v>4.3 Per diems of the project staff</v>
      </c>
      <c r="C22" s="105"/>
      <c r="D22" s="145">
        <f>'8 LB budget'!$L80</f>
        <v>0</v>
      </c>
      <c r="E22" s="78"/>
      <c r="F22" s="145">
        <f>'8. B1 budget'!$L80</f>
        <v>0</v>
      </c>
      <c r="G22" s="78"/>
      <c r="H22" s="145">
        <f>'8. B2 budget'!$L80</f>
        <v>0</v>
      </c>
      <c r="I22" s="78"/>
      <c r="J22" s="145">
        <f>'8. B3 budget'!$L80</f>
        <v>0</v>
      </c>
      <c r="K22" s="78"/>
      <c r="L22" s="145">
        <f>'8. B4 budget'!$L80</f>
        <v>0</v>
      </c>
      <c r="M22" s="78"/>
      <c r="N22" s="145">
        <f>'8. B5 budget'!$L80</f>
        <v>0</v>
      </c>
      <c r="O22" s="78"/>
      <c r="P22" s="145">
        <f>'8. B6 budget'!$L80</f>
        <v>0</v>
      </c>
      <c r="Q22" s="78"/>
      <c r="R22" s="145">
        <f>'8. B7 budget'!$L80</f>
        <v>0</v>
      </c>
      <c r="S22" s="78"/>
      <c r="T22" s="146">
        <f>D22+F22+H22+J22+L22+N22+P22+R22</f>
        <v>0</v>
      </c>
      <c r="U22" s="78"/>
      <c r="V22" s="147">
        <f>IF(T$41=0,0%,T22/T$41)</f>
        <v>0</v>
      </c>
      <c r="W22" s="44"/>
    </row>
    <row r="23" spans="1:23" s="85" customFormat="1" ht="3" customHeight="1" x14ac:dyDescent="0.2">
      <c r="A23" s="80"/>
      <c r="B23" s="105"/>
      <c r="C23" s="105"/>
      <c r="D23" s="78"/>
      <c r="E23" s="78"/>
      <c r="F23" s="78"/>
      <c r="G23" s="78"/>
      <c r="H23" s="78"/>
      <c r="I23" s="78"/>
      <c r="J23" s="78"/>
      <c r="K23" s="78"/>
      <c r="L23" s="78"/>
      <c r="M23" s="78"/>
      <c r="N23" s="78"/>
      <c r="O23" s="78"/>
      <c r="P23" s="78"/>
      <c r="Q23" s="78"/>
      <c r="R23" s="78"/>
      <c r="S23" s="78"/>
      <c r="T23" s="78"/>
      <c r="U23" s="78"/>
      <c r="V23" s="78"/>
      <c r="W23" s="44"/>
    </row>
    <row r="24" spans="1:23" s="85" customFormat="1" x14ac:dyDescent="0.2">
      <c r="A24" s="67">
        <v>5</v>
      </c>
      <c r="B24" s="68" t="str">
        <f>'8 LB budget'!B99</f>
        <v>External expertise and services costs</v>
      </c>
      <c r="C24" s="43"/>
      <c r="D24" s="143">
        <f>SUM(D25:D31)</f>
        <v>102297</v>
      </c>
      <c r="E24" s="78"/>
      <c r="F24" s="143">
        <f>SUM(F25:F31)</f>
        <v>94250</v>
      </c>
      <c r="G24" s="78"/>
      <c r="H24" s="143">
        <f>SUM(H25:H31)</f>
        <v>68000</v>
      </c>
      <c r="I24" s="78"/>
      <c r="J24" s="143">
        <f>SUM(J25:J31)</f>
        <v>7850</v>
      </c>
      <c r="K24" s="78"/>
      <c r="L24" s="143">
        <f>SUM(L25:L31)</f>
        <v>0</v>
      </c>
      <c r="M24" s="78"/>
      <c r="N24" s="143">
        <f>SUM(N25:N31)</f>
        <v>0</v>
      </c>
      <c r="O24" s="78"/>
      <c r="P24" s="143">
        <f>SUM(P25:P31)</f>
        <v>0</v>
      </c>
      <c r="Q24" s="78"/>
      <c r="R24" s="143">
        <f>SUM(R25:R31)</f>
        <v>0</v>
      </c>
      <c r="S24" s="78"/>
      <c r="T24" s="143">
        <f>SUM(T25:T31)</f>
        <v>272397</v>
      </c>
      <c r="U24" s="78"/>
      <c r="V24" s="144">
        <f t="shared" ref="V24:V31" si="0">IF(T$41=0,0%,T24/T$41)</f>
        <v>0.2672771721292776</v>
      </c>
      <c r="W24" s="44"/>
    </row>
    <row r="25" spans="1:23" s="85" customFormat="1" x14ac:dyDescent="0.2">
      <c r="A25" s="47"/>
      <c r="B25" s="96" t="str">
        <f>'8 LB budget'!B101</f>
        <v>5.1 Technical plans</v>
      </c>
      <c r="C25" s="105"/>
      <c r="D25" s="145">
        <f>'8 LB budget'!$L101</f>
        <v>7800</v>
      </c>
      <c r="E25" s="78"/>
      <c r="F25" s="145">
        <f>'8. B1 budget'!$L101</f>
        <v>23900</v>
      </c>
      <c r="G25" s="78"/>
      <c r="H25" s="145">
        <f>'8. B2 budget'!$L101</f>
        <v>0</v>
      </c>
      <c r="I25" s="78"/>
      <c r="J25" s="145">
        <f>'8. B3 budget'!$L101</f>
        <v>0</v>
      </c>
      <c r="K25" s="78"/>
      <c r="L25" s="145">
        <f>'8. B4 budget'!$L101</f>
        <v>0</v>
      </c>
      <c r="M25" s="78"/>
      <c r="N25" s="145">
        <f>'8. B5 budget'!$L101</f>
        <v>0</v>
      </c>
      <c r="O25" s="78"/>
      <c r="P25" s="145">
        <f>'8. B6 budget'!$L101</f>
        <v>0</v>
      </c>
      <c r="Q25" s="78"/>
      <c r="R25" s="145">
        <f>'8. B7 budget'!$L101</f>
        <v>0</v>
      </c>
      <c r="S25" s="78"/>
      <c r="T25" s="146">
        <f t="shared" ref="T25:T31" si="1">D25+F25+H25+J25+L25+N25+P25+R25</f>
        <v>31700</v>
      </c>
      <c r="U25" s="78"/>
      <c r="V25" s="147">
        <f t="shared" si="0"/>
        <v>3.1104183807083415E-2</v>
      </c>
      <c r="W25" s="44"/>
    </row>
    <row r="26" spans="1:23" s="85" customFormat="1" ht="17.25" customHeight="1" x14ac:dyDescent="0.2">
      <c r="A26" s="47"/>
      <c r="B26" s="96" t="str">
        <f>'8 LB budget'!B112</f>
        <v>5.2. Studies, statistics, databases and researches</v>
      </c>
      <c r="C26" s="105"/>
      <c r="D26" s="145">
        <f>'8 LB budget'!$L112</f>
        <v>0</v>
      </c>
      <c r="E26" s="78"/>
      <c r="F26" s="145">
        <f>'8. B1 budget'!$L112</f>
        <v>0</v>
      </c>
      <c r="G26" s="78"/>
      <c r="H26" s="145">
        <f>'8. B2 budget'!$L112</f>
        <v>0</v>
      </c>
      <c r="I26" s="78"/>
      <c r="J26" s="145">
        <f>'8. B3 budget'!$L112</f>
        <v>7850</v>
      </c>
      <c r="K26" s="78"/>
      <c r="L26" s="145">
        <f>'8. B4 budget'!$L112</f>
        <v>0</v>
      </c>
      <c r="M26" s="78"/>
      <c r="N26" s="145">
        <f>'8. B5 budget'!$L112</f>
        <v>0</v>
      </c>
      <c r="O26" s="78"/>
      <c r="P26" s="145">
        <f>'8. B6 budget'!$L112</f>
        <v>0</v>
      </c>
      <c r="Q26" s="78"/>
      <c r="R26" s="145">
        <f>'8. B7 budget'!$L112</f>
        <v>0</v>
      </c>
      <c r="S26" s="78"/>
      <c r="T26" s="146">
        <f t="shared" si="1"/>
        <v>7850</v>
      </c>
      <c r="U26" s="78"/>
      <c r="V26" s="147">
        <f t="shared" si="0"/>
        <v>7.7024556115332741E-3</v>
      </c>
      <c r="W26" s="44"/>
    </row>
    <row r="27" spans="1:23" s="85" customFormat="1" ht="25.5" x14ac:dyDescent="0.2">
      <c r="A27" s="47"/>
      <c r="B27" s="96" t="str">
        <f>'8 LB budget'!B130</f>
        <v>5.3 Events, conferences, seminars, project meetings</v>
      </c>
      <c r="C27" s="105"/>
      <c r="D27" s="145">
        <f>'8 LB budget'!$L130</f>
        <v>26450</v>
      </c>
      <c r="E27" s="78"/>
      <c r="F27" s="145">
        <f>'8. B1 budget'!$L130</f>
        <v>34550</v>
      </c>
      <c r="G27" s="78"/>
      <c r="H27" s="145">
        <f>'8. B2 budget'!$L130</f>
        <v>32000</v>
      </c>
      <c r="I27" s="78"/>
      <c r="J27" s="145">
        <f>'8. B3 budget'!$L130</f>
        <v>0</v>
      </c>
      <c r="K27" s="78"/>
      <c r="L27" s="145">
        <f>'8. B4 budget'!$L130</f>
        <v>0</v>
      </c>
      <c r="M27" s="78"/>
      <c r="N27" s="145">
        <f>'8. B5 budget'!$L130</f>
        <v>0</v>
      </c>
      <c r="O27" s="78"/>
      <c r="P27" s="145">
        <f>'8. B6 budget'!$L130</f>
        <v>0</v>
      </c>
      <c r="Q27" s="78"/>
      <c r="R27" s="145">
        <f>'8. B7 budget'!$L130</f>
        <v>0</v>
      </c>
      <c r="S27" s="78"/>
      <c r="T27" s="146">
        <f t="shared" si="1"/>
        <v>93000</v>
      </c>
      <c r="U27" s="78"/>
      <c r="V27" s="147">
        <f t="shared" si="0"/>
        <v>9.1252021894598023E-2</v>
      </c>
      <c r="W27" s="44"/>
    </row>
    <row r="28" spans="1:23" s="85" customFormat="1" ht="25.5" x14ac:dyDescent="0.2">
      <c r="A28" s="47"/>
      <c r="B28" s="92" t="str">
        <f>'8 LB budget'!B148</f>
        <v>5.4 Services related to project management, procurement procedures</v>
      </c>
      <c r="C28" s="104"/>
      <c r="D28" s="145">
        <f>'8 LB budget'!$L148</f>
        <v>26000</v>
      </c>
      <c r="E28" s="78"/>
      <c r="F28" s="145">
        <f>'8. B1 budget'!$L148</f>
        <v>0</v>
      </c>
      <c r="G28" s="78"/>
      <c r="H28" s="145">
        <f>'8. B2 budget'!$L148</f>
        <v>0</v>
      </c>
      <c r="I28" s="78"/>
      <c r="J28" s="145">
        <f>'8. B3 budget'!$L148</f>
        <v>0</v>
      </c>
      <c r="K28" s="78"/>
      <c r="L28" s="145">
        <f>'8. B4 budget'!$L148</f>
        <v>0</v>
      </c>
      <c r="M28" s="78"/>
      <c r="N28" s="145">
        <f>'8. B5 budget'!$L148</f>
        <v>0</v>
      </c>
      <c r="O28" s="78"/>
      <c r="P28" s="145">
        <f>'8. B6 budget'!$L148</f>
        <v>0</v>
      </c>
      <c r="Q28" s="78"/>
      <c r="R28" s="145">
        <f>'8. B7 budget'!$L148</f>
        <v>0</v>
      </c>
      <c r="S28" s="78"/>
      <c r="T28" s="146">
        <f t="shared" si="1"/>
        <v>26000</v>
      </c>
      <c r="U28" s="78"/>
      <c r="V28" s="147">
        <f t="shared" si="0"/>
        <v>2.5511317949027404E-2</v>
      </c>
      <c r="W28" s="44"/>
    </row>
    <row r="29" spans="1:23" s="85" customFormat="1" ht="25.5" x14ac:dyDescent="0.2">
      <c r="A29" s="47"/>
      <c r="B29" s="92" t="str">
        <f>'8 LB budget'!B162</f>
        <v>5.5 Costs of supervisor of engineering, architect's site supervision</v>
      </c>
      <c r="C29" s="104"/>
      <c r="D29" s="145">
        <f>'8 LB budget'!$L162</f>
        <v>2500</v>
      </c>
      <c r="E29" s="78"/>
      <c r="F29" s="145">
        <f>'8. B1 budget'!$L162</f>
        <v>3300</v>
      </c>
      <c r="G29" s="78"/>
      <c r="H29" s="145">
        <f>'8. B2 budget'!$L162</f>
        <v>0</v>
      </c>
      <c r="I29" s="78"/>
      <c r="J29" s="145">
        <f>'8. B3 budget'!$L162</f>
        <v>0</v>
      </c>
      <c r="K29" s="78"/>
      <c r="L29" s="145">
        <f>'8. B4 budget'!$L162</f>
        <v>0</v>
      </c>
      <c r="M29" s="78"/>
      <c r="N29" s="145">
        <f>'8. B5 budget'!$L162</f>
        <v>0</v>
      </c>
      <c r="O29" s="78"/>
      <c r="P29" s="145">
        <f>'8. B6 budget'!$L162</f>
        <v>0</v>
      </c>
      <c r="Q29" s="78"/>
      <c r="R29" s="145">
        <f>'8. B7 budget'!$L162</f>
        <v>0</v>
      </c>
      <c r="S29" s="78"/>
      <c r="T29" s="146">
        <f t="shared" si="1"/>
        <v>5800</v>
      </c>
      <c r="U29" s="78"/>
      <c r="V29" s="147">
        <f t="shared" si="0"/>
        <v>5.6909863117061135E-3</v>
      </c>
      <c r="W29" s="44"/>
    </row>
    <row r="30" spans="1:23" s="85" customFormat="1" ht="25.5" x14ac:dyDescent="0.2">
      <c r="A30" s="47"/>
      <c r="B30" s="92" t="str">
        <f>'8 LB budget'!B174</f>
        <v>5.6 Costs related to publicity, promotion and  communication</v>
      </c>
      <c r="C30" s="104"/>
      <c r="D30" s="145">
        <f>'8 LB budget'!$L174</f>
        <v>28787</v>
      </c>
      <c r="E30" s="78"/>
      <c r="F30" s="145">
        <f>'8. B1 budget'!$L174</f>
        <v>10000</v>
      </c>
      <c r="G30" s="78"/>
      <c r="H30" s="145">
        <f>'8. B2 budget'!$L174</f>
        <v>36000</v>
      </c>
      <c r="I30" s="78"/>
      <c r="J30" s="145">
        <f>'8. B3 budget'!$L174</f>
        <v>0</v>
      </c>
      <c r="K30" s="78"/>
      <c r="L30" s="145">
        <f>'8. B4 budget'!$L174</f>
        <v>0</v>
      </c>
      <c r="M30" s="78"/>
      <c r="N30" s="145">
        <f>'8. B5 budget'!$L174</f>
        <v>0</v>
      </c>
      <c r="O30" s="78"/>
      <c r="P30" s="145">
        <f>'8. B6 budget'!$L174</f>
        <v>0</v>
      </c>
      <c r="Q30" s="78"/>
      <c r="R30" s="145">
        <f>'8. B7 budget'!$L174</f>
        <v>0</v>
      </c>
      <c r="S30" s="78"/>
      <c r="T30" s="146">
        <f t="shared" si="1"/>
        <v>74787</v>
      </c>
      <c r="U30" s="78"/>
      <c r="V30" s="147">
        <f t="shared" si="0"/>
        <v>7.3381343671304333E-2</v>
      </c>
      <c r="W30" s="44"/>
    </row>
    <row r="31" spans="1:23" s="85" customFormat="1" x14ac:dyDescent="0.2">
      <c r="A31" s="47"/>
      <c r="B31" s="92" t="str">
        <f>'8 LB budget'!B192</f>
        <v>5.7 Other services</v>
      </c>
      <c r="C31" s="104"/>
      <c r="D31" s="145">
        <f>'8 LB budget'!$L192</f>
        <v>10760</v>
      </c>
      <c r="E31" s="78"/>
      <c r="F31" s="145">
        <f>'8. B1 budget'!$L192</f>
        <v>22500</v>
      </c>
      <c r="G31" s="78"/>
      <c r="H31" s="145">
        <f>'8. B2 budget'!$L192</f>
        <v>0</v>
      </c>
      <c r="I31" s="78"/>
      <c r="J31" s="145">
        <f>'8. B3 budget'!$L192</f>
        <v>0</v>
      </c>
      <c r="K31" s="78"/>
      <c r="L31" s="145">
        <f>'8. B4 budget'!$L192</f>
        <v>0</v>
      </c>
      <c r="M31" s="78"/>
      <c r="N31" s="145">
        <f>'8. B5 budget'!$L192</f>
        <v>0</v>
      </c>
      <c r="O31" s="78"/>
      <c r="P31" s="145">
        <f>'8. B6 budget'!$L192</f>
        <v>0</v>
      </c>
      <c r="Q31" s="78"/>
      <c r="R31" s="145">
        <f>'8. B7 budget'!$L192</f>
        <v>0</v>
      </c>
      <c r="S31" s="78"/>
      <c r="T31" s="146">
        <f t="shared" si="1"/>
        <v>33260</v>
      </c>
      <c r="U31" s="78"/>
      <c r="V31" s="147">
        <f t="shared" si="0"/>
        <v>3.2634862884025055E-2</v>
      </c>
      <c r="W31" s="44"/>
    </row>
    <row r="32" spans="1:23" s="85" customFormat="1" ht="3" customHeight="1" x14ac:dyDescent="0.2">
      <c r="A32" s="45"/>
      <c r="B32" s="104"/>
      <c r="C32" s="104"/>
      <c r="D32" s="78"/>
      <c r="E32" s="78"/>
      <c r="F32" s="78"/>
      <c r="G32" s="78"/>
      <c r="H32" s="78"/>
      <c r="I32" s="78"/>
      <c r="J32" s="78"/>
      <c r="K32" s="78"/>
      <c r="L32" s="78"/>
      <c r="M32" s="78"/>
      <c r="N32" s="78"/>
      <c r="O32" s="78"/>
      <c r="P32" s="78"/>
      <c r="Q32" s="78"/>
      <c r="R32" s="78"/>
      <c r="S32" s="78"/>
      <c r="T32" s="148"/>
      <c r="U32" s="78"/>
      <c r="V32" s="78"/>
      <c r="W32" s="44"/>
    </row>
    <row r="33" spans="1:24" s="85" customFormat="1" x14ac:dyDescent="0.2">
      <c r="A33" s="69">
        <v>6</v>
      </c>
      <c r="B33" s="68" t="str">
        <f>'8 LB budget'!B206</f>
        <v>Equipment expenditure</v>
      </c>
      <c r="C33" s="43"/>
      <c r="D33" s="143">
        <f>SUM(D34:D35)</f>
        <v>53095.5</v>
      </c>
      <c r="E33" s="78"/>
      <c r="F33" s="143">
        <f>SUM(F34:F35)</f>
        <v>56460</v>
      </c>
      <c r="G33" s="78"/>
      <c r="H33" s="143">
        <f>SUM(H34:H35)</f>
        <v>42350</v>
      </c>
      <c r="I33" s="78"/>
      <c r="J33" s="143">
        <f>SUM(J34:J35)</f>
        <v>1000</v>
      </c>
      <c r="K33" s="78"/>
      <c r="L33" s="143">
        <f>SUM(L34:L35)</f>
        <v>0</v>
      </c>
      <c r="M33" s="78"/>
      <c r="N33" s="143">
        <f>SUM(N34:N35)</f>
        <v>0</v>
      </c>
      <c r="O33" s="78"/>
      <c r="P33" s="143">
        <f>SUM(P34:P35)</f>
        <v>0</v>
      </c>
      <c r="Q33" s="78"/>
      <c r="R33" s="143">
        <f>SUM(R34:R35)</f>
        <v>0</v>
      </c>
      <c r="S33" s="78"/>
      <c r="T33" s="143">
        <f>SUM(T34:T35)</f>
        <v>152905.5</v>
      </c>
      <c r="U33" s="78"/>
      <c r="V33" s="144">
        <f>IF(T$41=0,0%,T33/T$41)</f>
        <v>0.15003157025596192</v>
      </c>
      <c r="W33" s="44"/>
    </row>
    <row r="34" spans="1:24" s="85" customFormat="1" x14ac:dyDescent="0.2">
      <c r="A34" s="47"/>
      <c r="B34" s="92" t="str">
        <f>'8 LB budget'!B208</f>
        <v>6.1 Content-related / thematic equipment</v>
      </c>
      <c r="C34" s="104"/>
      <c r="D34" s="145">
        <f>'8 LB budget'!$L208</f>
        <v>52095.5</v>
      </c>
      <c r="E34" s="78"/>
      <c r="F34" s="145">
        <f>'8. B1 budget'!$L208</f>
        <v>55460</v>
      </c>
      <c r="G34" s="78"/>
      <c r="H34" s="145">
        <f>'8. B2 budget'!$L208</f>
        <v>41350</v>
      </c>
      <c r="I34" s="78"/>
      <c r="J34" s="145">
        <f>'8. B3 budget'!$L208</f>
        <v>0</v>
      </c>
      <c r="K34" s="78"/>
      <c r="L34" s="145">
        <f>'8. B4 budget'!$L208</f>
        <v>0</v>
      </c>
      <c r="M34" s="78"/>
      <c r="N34" s="145">
        <f>'8. B5 budget'!$L208</f>
        <v>0</v>
      </c>
      <c r="O34" s="78"/>
      <c r="P34" s="145">
        <f>'8. B6 budget'!$L208</f>
        <v>0</v>
      </c>
      <c r="Q34" s="78"/>
      <c r="R34" s="145">
        <f>'8. B7 budget'!$L208</f>
        <v>0</v>
      </c>
      <c r="S34" s="78"/>
      <c r="T34" s="146">
        <f>D34+F34+H34+J34+L34+N34+P34+R34</f>
        <v>148905.5</v>
      </c>
      <c r="U34" s="78"/>
      <c r="V34" s="147">
        <f>IF(T$41=0,0%,T34/T$41)</f>
        <v>0.14610675210995772</v>
      </c>
      <c r="W34" s="44"/>
    </row>
    <row r="35" spans="1:24" s="85" customFormat="1" x14ac:dyDescent="0.2">
      <c r="A35" s="48"/>
      <c r="B35" s="92" t="str">
        <f>'8 LB budget'!B226</f>
        <v xml:space="preserve">6.2 Equipment for general (office) use </v>
      </c>
      <c r="C35" s="104"/>
      <c r="D35" s="145">
        <f>'8 LB budget'!$L226</f>
        <v>1000</v>
      </c>
      <c r="E35" s="78"/>
      <c r="F35" s="145">
        <f>'8. B1 budget'!$L226</f>
        <v>1000</v>
      </c>
      <c r="G35" s="78"/>
      <c r="H35" s="145">
        <f>'8. B2 budget'!$L226</f>
        <v>1000</v>
      </c>
      <c r="I35" s="78"/>
      <c r="J35" s="145">
        <f>'8. B3 budget'!$L226</f>
        <v>1000</v>
      </c>
      <c r="K35" s="78"/>
      <c r="L35" s="145">
        <f>'8. B4 budget'!$L226</f>
        <v>0</v>
      </c>
      <c r="M35" s="78"/>
      <c r="N35" s="145">
        <f>'8. B5 budget'!$L226</f>
        <v>0</v>
      </c>
      <c r="O35" s="78"/>
      <c r="P35" s="145">
        <f>'8. B6 budget'!$L226</f>
        <v>0</v>
      </c>
      <c r="Q35" s="78"/>
      <c r="R35" s="145">
        <f>'8. B7 budget'!$L226</f>
        <v>0</v>
      </c>
      <c r="S35" s="78"/>
      <c r="T35" s="146">
        <f>D35+F35+H35+J35+L35+N35+P35+R35</f>
        <v>4000</v>
      </c>
      <c r="U35" s="78"/>
      <c r="V35" s="147">
        <f>IF(T$41=0,0%,T35/T$41)</f>
        <v>3.9248181460042166E-3</v>
      </c>
      <c r="W35" s="44"/>
    </row>
    <row r="36" spans="1:24" s="85" customFormat="1" ht="3" customHeight="1" x14ac:dyDescent="0.2">
      <c r="A36" s="46"/>
      <c r="B36" s="104"/>
      <c r="C36" s="104"/>
      <c r="D36" s="78"/>
      <c r="E36" s="78"/>
      <c r="F36" s="78"/>
      <c r="G36" s="78"/>
      <c r="H36" s="78"/>
      <c r="I36" s="78"/>
      <c r="J36" s="78"/>
      <c r="K36" s="78"/>
      <c r="L36" s="78"/>
      <c r="M36" s="78"/>
      <c r="N36" s="78"/>
      <c r="O36" s="78"/>
      <c r="P36" s="78"/>
      <c r="Q36" s="78"/>
      <c r="R36" s="78"/>
      <c r="S36" s="78"/>
      <c r="T36" s="78"/>
      <c r="U36" s="78"/>
      <c r="V36" s="78"/>
      <c r="W36" s="44"/>
    </row>
    <row r="37" spans="1:24" s="85" customFormat="1" x14ac:dyDescent="0.2">
      <c r="A37" s="69">
        <v>7</v>
      </c>
      <c r="B37" s="68" t="str">
        <f>'8 LB budget'!B228</f>
        <v>Infrastructure and works</v>
      </c>
      <c r="C37" s="43"/>
      <c r="D37" s="143">
        <f>(D38+D39)</f>
        <v>248135</v>
      </c>
      <c r="E37" s="78"/>
      <c r="F37" s="143">
        <f>(F38+F39)</f>
        <v>96000</v>
      </c>
      <c r="G37" s="78"/>
      <c r="H37" s="143">
        <f>(H38+H39)</f>
        <v>21000</v>
      </c>
      <c r="I37" s="78"/>
      <c r="J37" s="143">
        <f>(J38+J39)</f>
        <v>166700</v>
      </c>
      <c r="K37" s="78"/>
      <c r="L37" s="143">
        <f>(L38+L39)</f>
        <v>0</v>
      </c>
      <c r="M37" s="78"/>
      <c r="N37" s="143">
        <f>(N38+N39)</f>
        <v>0</v>
      </c>
      <c r="O37" s="78"/>
      <c r="P37" s="143">
        <f>(P38+P39)</f>
        <v>0</v>
      </c>
      <c r="Q37" s="78"/>
      <c r="R37" s="143">
        <f>(R38+R39)</f>
        <v>0</v>
      </c>
      <c r="S37" s="78"/>
      <c r="T37" s="143">
        <f>(T38+T39)</f>
        <v>531835</v>
      </c>
      <c r="U37" s="78"/>
      <c r="V37" s="144">
        <f>IF(T$41=0,0%,T37/T$41)</f>
        <v>0.52183891467003807</v>
      </c>
      <c r="W37" s="44"/>
    </row>
    <row r="38" spans="1:24" s="85" customFormat="1" ht="25.5" x14ac:dyDescent="0.2">
      <c r="A38" s="47"/>
      <c r="B38" s="92" t="str">
        <f>'8 LB budget'!B230</f>
        <v>7.1 Construction, reconstruction and renovation  of buildings, works, infrastructure</v>
      </c>
      <c r="C38" s="104"/>
      <c r="D38" s="145">
        <f>'8 LB budget'!$L230</f>
        <v>248135</v>
      </c>
      <c r="E38" s="142"/>
      <c r="F38" s="145">
        <f>'8. B1 budget'!$L230</f>
        <v>96000</v>
      </c>
      <c r="G38" s="142"/>
      <c r="H38" s="145">
        <f>'8. B2 budget'!$L230</f>
        <v>21000</v>
      </c>
      <c r="I38" s="142"/>
      <c r="J38" s="145">
        <f>'8. B3 budget'!$L230</f>
        <v>158160</v>
      </c>
      <c r="K38" s="142"/>
      <c r="L38" s="145">
        <f>'8. B4 budget'!$L230</f>
        <v>0</v>
      </c>
      <c r="M38" s="142"/>
      <c r="N38" s="145">
        <f>'8. B5 budget'!$L230</f>
        <v>0</v>
      </c>
      <c r="O38" s="142"/>
      <c r="P38" s="145">
        <f>'8. B6 budget'!$L230</f>
        <v>0</v>
      </c>
      <c r="Q38" s="142"/>
      <c r="R38" s="145">
        <f>'8. B7 budget'!$L230</f>
        <v>0</v>
      </c>
      <c r="S38" s="142"/>
      <c r="T38" s="146">
        <f>D38+F38+H38+J38+L38+N38+P38+R38</f>
        <v>523295</v>
      </c>
      <c r="U38" s="142"/>
      <c r="V38" s="149">
        <f>IF(T$41=0,0%,T38/T$41)</f>
        <v>0.51345942792831911</v>
      </c>
      <c r="W38" s="44"/>
    </row>
    <row r="39" spans="1:24" s="85" customFormat="1" x14ac:dyDescent="0.2">
      <c r="A39" s="48"/>
      <c r="B39" s="92" t="str">
        <f>'8 LB budget'!B248</f>
        <v>7.2 Purchase of land</v>
      </c>
      <c r="C39" s="104"/>
      <c r="D39" s="145">
        <f>'8 LB budget'!$L248</f>
        <v>0</v>
      </c>
      <c r="E39" s="78"/>
      <c r="F39" s="145">
        <f>'8. B1 budget'!$L248</f>
        <v>0</v>
      </c>
      <c r="G39" s="78"/>
      <c r="H39" s="145">
        <f>'8. B2 budget'!$L248</f>
        <v>0</v>
      </c>
      <c r="I39" s="78"/>
      <c r="J39" s="145">
        <f>'8. B3 budget'!$L248</f>
        <v>8540</v>
      </c>
      <c r="K39" s="78"/>
      <c r="L39" s="145">
        <f>'8. B4 budget'!$L248</f>
        <v>0</v>
      </c>
      <c r="M39" s="78"/>
      <c r="N39" s="145">
        <f>'8. B5 budget'!$L248</f>
        <v>0</v>
      </c>
      <c r="O39" s="78"/>
      <c r="P39" s="145">
        <f>'8. B6 budget'!$L248</f>
        <v>0</v>
      </c>
      <c r="Q39" s="78"/>
      <c r="R39" s="145">
        <f>'8. B7 budget'!$L248</f>
        <v>0</v>
      </c>
      <c r="S39" s="78"/>
      <c r="T39" s="146">
        <f>D39+F39+H39+J39+L39+N39+P39+R39</f>
        <v>8540</v>
      </c>
      <c r="U39" s="78"/>
      <c r="V39" s="147">
        <f>IF(T$41=0,0%,T39/T$41)</f>
        <v>8.3794867417190024E-3</v>
      </c>
      <c r="W39" s="44"/>
      <c r="X39" s="85">
        <f>IF(V39&gt;0.1,1,0)</f>
        <v>0</v>
      </c>
    </row>
    <row r="40" spans="1:24" s="85" customFormat="1" ht="3" customHeight="1" x14ac:dyDescent="0.2">
      <c r="A40" s="46"/>
      <c r="B40" s="104"/>
      <c r="C40" s="104"/>
      <c r="D40" s="78"/>
      <c r="E40" s="78"/>
      <c r="F40" s="78"/>
      <c r="G40" s="78"/>
      <c r="H40" s="78"/>
      <c r="I40" s="78"/>
      <c r="J40" s="78"/>
      <c r="K40" s="78"/>
      <c r="L40" s="78"/>
      <c r="M40" s="78"/>
      <c r="N40" s="78"/>
      <c r="O40" s="78"/>
      <c r="P40" s="78"/>
      <c r="Q40" s="78"/>
      <c r="R40" s="78"/>
      <c r="S40" s="78"/>
      <c r="T40" s="78"/>
      <c r="U40" s="78"/>
      <c r="V40" s="78"/>
      <c r="W40" s="44"/>
    </row>
    <row r="41" spans="1:24" s="85" customFormat="1" ht="15" x14ac:dyDescent="0.2">
      <c r="A41" s="804" t="s">
        <v>78</v>
      </c>
      <c r="B41" s="805"/>
      <c r="C41" s="295"/>
      <c r="D41" s="297">
        <f>D37+D33+D24+D19+D17+D13+D11</f>
        <v>414577.5</v>
      </c>
      <c r="E41" s="296"/>
      <c r="F41" s="297">
        <f>F37+F33+F24+F19+F17+F13+F11</f>
        <v>279255</v>
      </c>
      <c r="G41" s="296"/>
      <c r="H41" s="297">
        <f>H37+H33+H24+H19+H17+H13+H11</f>
        <v>145598.5</v>
      </c>
      <c r="I41" s="296"/>
      <c r="J41" s="297">
        <f>J37+J33+J24+J19+J17+J13+J11</f>
        <v>179724.5</v>
      </c>
      <c r="K41" s="296"/>
      <c r="L41" s="297">
        <f>L37+L33+L24+L19+L17+L13+L11</f>
        <v>0</v>
      </c>
      <c r="M41" s="296"/>
      <c r="N41" s="297">
        <f>N37+N33+N24+N19+N17+N13+N11</f>
        <v>0</v>
      </c>
      <c r="O41" s="296"/>
      <c r="P41" s="297">
        <f>P37+P33+P24+P19+P17+P13+P11</f>
        <v>0</v>
      </c>
      <c r="Q41" s="296"/>
      <c r="R41" s="297">
        <f>R37+R33+R24+R19+R17+R13+R11</f>
        <v>0</v>
      </c>
      <c r="S41" s="296"/>
      <c r="T41" s="297">
        <f>T37+T33+T24+T19+T17+T13+T11</f>
        <v>1019155.5</v>
      </c>
      <c r="U41" s="296"/>
      <c r="V41" s="157">
        <f>IF(T$41=0,0%,T41/T$41)</f>
        <v>1</v>
      </c>
      <c r="W41" s="202"/>
    </row>
    <row r="42" spans="1:24" s="85" customFormat="1" ht="3" customHeight="1" x14ac:dyDescent="0.2">
      <c r="A42" s="45"/>
      <c r="B42" s="106"/>
      <c r="C42" s="106"/>
      <c r="D42" s="150"/>
      <c r="E42" s="150"/>
      <c r="F42" s="150"/>
      <c r="G42" s="150"/>
      <c r="H42" s="150"/>
      <c r="I42" s="150"/>
      <c r="J42" s="150"/>
      <c r="K42" s="150"/>
      <c r="L42" s="150"/>
      <c r="M42" s="150"/>
      <c r="N42" s="150"/>
      <c r="O42" s="150"/>
      <c r="P42" s="150"/>
      <c r="Q42" s="150"/>
      <c r="R42" s="150"/>
      <c r="S42" s="150"/>
      <c r="T42" s="150"/>
      <c r="U42" s="150"/>
      <c r="V42" s="150"/>
      <c r="W42" s="44"/>
    </row>
    <row r="43" spans="1:24" s="85" customFormat="1" x14ac:dyDescent="0.2">
      <c r="A43" s="818" t="s">
        <v>137</v>
      </c>
      <c r="B43" s="819"/>
      <c r="C43" s="299"/>
      <c r="D43" s="298">
        <f>IF($T$41=0,0%,D41/$T$41)</f>
        <v>0.40678532373126575</v>
      </c>
      <c r="E43" s="300"/>
      <c r="F43" s="298">
        <f>IF($T$41=0,0%,F41/$T$41)</f>
        <v>0.27400627284060186</v>
      </c>
      <c r="G43" s="300"/>
      <c r="H43" s="298">
        <f>IF($T$41=0,0%,H41/$T$41)</f>
        <v>0.14286190870774873</v>
      </c>
      <c r="I43" s="300"/>
      <c r="J43" s="298">
        <f>IF($T$41=0,0%,J41/$T$41)</f>
        <v>0.17634649472038369</v>
      </c>
      <c r="K43" s="300"/>
      <c r="L43" s="298">
        <f>IF($T$41=0,0%,L41/$T$41)</f>
        <v>0</v>
      </c>
      <c r="M43" s="300"/>
      <c r="N43" s="298">
        <f>IF($T$41=0,0%,N41/$T$41)</f>
        <v>0</v>
      </c>
      <c r="O43" s="300"/>
      <c r="P43" s="298">
        <f>IF($T$41=0,0%,P41/$T$41)</f>
        <v>0</v>
      </c>
      <c r="Q43" s="300"/>
      <c r="R43" s="298">
        <f>IF($T$41=0,0%,R41/$T$41)</f>
        <v>0</v>
      </c>
      <c r="S43" s="300"/>
      <c r="T43" s="298"/>
      <c r="U43" s="300"/>
      <c r="V43" s="298">
        <f>IF(T$41=0,0%,T41/T$41)</f>
        <v>1</v>
      </c>
      <c r="W43" s="202"/>
    </row>
    <row r="44" spans="1:24" x14ac:dyDescent="0.2">
      <c r="V44" s="227"/>
    </row>
    <row r="45" spans="1:24" x14ac:dyDescent="0.2">
      <c r="B45" s="806"/>
      <c r="C45" s="806"/>
      <c r="D45" s="806"/>
      <c r="E45" s="806"/>
      <c r="F45" s="806"/>
      <c r="G45" s="806"/>
      <c r="H45" s="806"/>
      <c r="I45" s="806"/>
      <c r="J45" s="806"/>
      <c r="K45" s="806"/>
      <c r="L45" s="806"/>
      <c r="M45" s="806"/>
      <c r="N45" s="806"/>
      <c r="O45" s="806"/>
      <c r="P45" s="806"/>
      <c r="Q45" s="806"/>
      <c r="R45" s="806"/>
      <c r="S45" s="806"/>
      <c r="T45" s="806"/>
      <c r="U45" s="806"/>
      <c r="V45" s="806"/>
      <c r="W45" s="806"/>
    </row>
  </sheetData>
  <sheetProtection password="F58B" sheet="1" selectLockedCells="1"/>
  <mergeCells count="11">
    <mergeCell ref="A1:V1"/>
    <mergeCell ref="A41:B41"/>
    <mergeCell ref="F3:V3"/>
    <mergeCell ref="B45:W45"/>
    <mergeCell ref="D5:H5"/>
    <mergeCell ref="T7:V7"/>
    <mergeCell ref="A7:B8"/>
    <mergeCell ref="D7:R7"/>
    <mergeCell ref="J5:L5"/>
    <mergeCell ref="N5:V5"/>
    <mergeCell ref="A43:B43"/>
  </mergeCells>
  <phoneticPr fontId="3" type="noConversion"/>
  <dataValidations count="1">
    <dataValidation type="decimal" allowBlank="1" showInputMessage="1" showErrorMessage="1" sqref="D34:D35 P34:P35 D20:D22 H34:H35 H20:H22 H14:H15 D14:D15 T34:T35 T25:T31 T20:T22 F34:F35 F20:F22 F14:F15 D38:D39 N34:N35 L34:L35 P20:P22 P14:P15 P38:P39 N20:N22 N14:N15 N38:N39 L20:L22 L14:L15 L38:L39 J34:J35 J20:J22 J14:J15 J38:J39 F38:F39 H38:H39 J25:J31 L25:L31 N25:N31 T14:T15 D25:D31 P25:P31 T38:T39 H25:H31 F25:F31 R34:R35 R20:R22 R14:R15 R38:R39 R25:R31 T11 T17">
      <formula1>0</formula1>
      <formula2>99999999.99</formula2>
    </dataValidation>
  </dataValidations>
  <pageMargins left="0.27559055118110237" right="0.27559055118110237" top="0.82677165354330717" bottom="0.31496062992125984" header="0.15748031496062992" footer="0.11811023622047245"/>
  <pageSetup scale="67" orientation="landscape"/>
  <headerFooter>
    <oddFooter xml:space="preserve">&amp;C&amp;"Arial,Italic"&amp;A&amp;R&amp;"Arial,Italic"Page &amp;P of &amp;N </oddFooter>
  </headerFooter>
  <ignoredErrors>
    <ignoredError sqref="F3" formulaRang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8"/>
  <sheetViews>
    <sheetView view="pageBreakPreview" topLeftCell="A7" zoomScale="115" zoomScaleNormal="100" zoomScaleSheetLayoutView="115" workbookViewId="0">
      <selection activeCell="O15" sqref="O15"/>
    </sheetView>
  </sheetViews>
  <sheetFormatPr defaultColWidth="9.140625" defaultRowHeight="12.75" x14ac:dyDescent="0.2"/>
  <cols>
    <col min="1" max="1" width="25.7109375" style="44" customWidth="1"/>
    <col min="2" max="2" width="0.42578125" style="44" customWidth="1"/>
    <col min="3" max="3" width="13.7109375" style="44" customWidth="1"/>
    <col min="4" max="4" width="0.42578125" style="44" customWidth="1"/>
    <col min="5" max="5" width="10.7109375" style="44" customWidth="1"/>
    <col min="6" max="6" width="1.42578125" style="44" customWidth="1"/>
    <col min="7" max="7" width="13.7109375" style="44" customWidth="1"/>
    <col min="8" max="8" width="0.42578125" style="44" customWidth="1"/>
    <col min="9" max="9" width="10.7109375" style="44" customWidth="1"/>
    <col min="10" max="10" width="1.42578125" style="44" customWidth="1"/>
    <col min="11" max="11" width="13.7109375" style="44" customWidth="1"/>
    <col min="12" max="12" width="0.42578125" style="44" customWidth="1"/>
    <col min="13" max="13" width="10.7109375" style="44" customWidth="1"/>
    <col min="14" max="14" width="1.42578125" style="44" customWidth="1"/>
    <col min="15" max="15" width="13.7109375" style="44" customWidth="1"/>
    <col min="16" max="16" width="0.42578125" style="44" customWidth="1"/>
    <col min="17" max="17" width="10.7109375" style="44" customWidth="1"/>
    <col min="18" max="18" width="1.42578125" style="44" customWidth="1"/>
    <col min="19" max="19" width="13.7109375" style="44" hidden="1" customWidth="1"/>
    <col min="20" max="20" width="0.42578125" style="44" hidden="1" customWidth="1"/>
    <col min="21" max="21" width="10.7109375" style="44" hidden="1" customWidth="1"/>
    <col min="22" max="22" width="1.42578125" style="44" hidden="1" customWidth="1"/>
    <col min="23" max="23" width="13.7109375" style="44" hidden="1" customWidth="1"/>
    <col min="24" max="24" width="0.42578125" style="44" hidden="1" customWidth="1"/>
    <col min="25" max="25" width="10.7109375" style="44" hidden="1" customWidth="1"/>
    <col min="26" max="26" width="1.42578125" style="44" hidden="1" customWidth="1"/>
    <col min="27" max="27" width="13.7109375" style="44" hidden="1" customWidth="1"/>
    <col min="28" max="28" width="0.42578125" style="44" hidden="1" customWidth="1"/>
    <col min="29" max="29" width="10.7109375" style="44" hidden="1" customWidth="1"/>
    <col min="30" max="30" width="1.42578125" style="44" hidden="1" customWidth="1"/>
    <col min="31" max="31" width="13.7109375" style="44" hidden="1" customWidth="1"/>
    <col min="32" max="32" width="0.42578125" style="44" customWidth="1"/>
    <col min="33" max="33" width="10.7109375" style="44" customWidth="1"/>
    <col min="34" max="34" width="0.42578125" style="44" customWidth="1"/>
    <col min="35" max="35" width="13.7109375" style="44" customWidth="1"/>
    <col min="36" max="36" width="0.42578125" style="44" customWidth="1"/>
    <col min="37" max="37" width="10.7109375" style="44" customWidth="1"/>
    <col min="38" max="38" width="34.28515625" style="79" customWidth="1"/>
    <col min="39" max="16384" width="9.140625" style="79"/>
  </cols>
  <sheetData>
    <row r="1" spans="1:37" ht="22.5" customHeight="1" x14ac:dyDescent="0.2">
      <c r="A1" s="829" t="s">
        <v>331</v>
      </c>
      <c r="B1" s="830"/>
      <c r="C1" s="830"/>
      <c r="D1" s="830"/>
      <c r="E1" s="830"/>
      <c r="F1" s="830"/>
      <c r="G1" s="830"/>
      <c r="H1" s="830"/>
      <c r="I1" s="830"/>
      <c r="J1" s="830"/>
      <c r="K1" s="830"/>
      <c r="L1" s="830"/>
      <c r="M1" s="830"/>
      <c r="N1" s="830"/>
      <c r="O1" s="830"/>
      <c r="P1" s="830"/>
      <c r="Q1" s="830"/>
      <c r="R1" s="830"/>
      <c r="S1" s="830"/>
      <c r="T1" s="830"/>
      <c r="U1" s="830"/>
      <c r="V1" s="830"/>
      <c r="W1" s="830"/>
      <c r="X1" s="830"/>
      <c r="Y1" s="830"/>
      <c r="Z1" s="830"/>
      <c r="AA1" s="830"/>
      <c r="AB1" s="830"/>
      <c r="AC1" s="830"/>
      <c r="AD1" s="830"/>
      <c r="AE1" s="830"/>
      <c r="AF1" s="830"/>
      <c r="AG1" s="830"/>
      <c r="AH1" s="830"/>
      <c r="AI1" s="830"/>
      <c r="AJ1" s="830"/>
      <c r="AK1" s="831"/>
    </row>
    <row r="2" spans="1:37" x14ac:dyDescent="0.2">
      <c r="A2" s="107"/>
      <c r="C2" s="108"/>
      <c r="E2" s="108"/>
      <c r="G2" s="108"/>
      <c r="I2" s="108"/>
      <c r="K2" s="108"/>
      <c r="W2" s="108"/>
    </row>
    <row r="3" spans="1:37" x14ac:dyDescent="0.2">
      <c r="A3" s="201" t="str">
        <f>'1. General Data'!R12</f>
        <v>HUHR/1601/</v>
      </c>
      <c r="C3" s="203" t="s">
        <v>321</v>
      </c>
      <c r="E3" s="843" t="str">
        <f>T('1. General Data'!E25)</f>
        <v>2.1.1. Bicycle paths</v>
      </c>
      <c r="F3" s="844"/>
      <c r="G3" s="844"/>
      <c r="H3" s="844"/>
      <c r="I3" s="844"/>
      <c r="J3" s="844"/>
      <c r="K3" s="844"/>
      <c r="L3" s="844"/>
      <c r="M3" s="844"/>
      <c r="N3" s="844"/>
      <c r="O3" s="844"/>
      <c r="P3" s="844"/>
      <c r="Q3" s="844"/>
      <c r="R3" s="844"/>
      <c r="S3" s="844"/>
      <c r="T3" s="844"/>
      <c r="U3" s="844"/>
      <c r="V3" s="845"/>
      <c r="W3" s="845"/>
      <c r="X3" s="845"/>
      <c r="Y3" s="845"/>
      <c r="Z3" s="845"/>
      <c r="AA3" s="845"/>
      <c r="AB3" s="845"/>
      <c r="AC3" s="845"/>
      <c r="AD3" s="845"/>
      <c r="AE3" s="845"/>
      <c r="AF3" s="845"/>
      <c r="AG3" s="845"/>
      <c r="AH3" s="845"/>
      <c r="AI3" s="845"/>
      <c r="AJ3" s="845"/>
      <c r="AK3" s="846"/>
    </row>
    <row r="4" spans="1:37" ht="6" customHeight="1" x14ac:dyDescent="0.2">
      <c r="W4" s="108"/>
      <c r="Y4" s="108"/>
      <c r="AA4" s="108"/>
      <c r="AC4" s="108"/>
      <c r="AE4" s="108"/>
      <c r="AG4" s="108"/>
      <c r="AI4" s="108"/>
      <c r="AK4" s="108"/>
    </row>
    <row r="5" spans="1:37" x14ac:dyDescent="0.2">
      <c r="A5" s="203" t="s">
        <v>139</v>
      </c>
      <c r="C5" s="843" t="str">
        <f>T('1. General Data'!C14)</f>
        <v>Happy Bike</v>
      </c>
      <c r="D5" s="844"/>
      <c r="E5" s="844"/>
      <c r="F5" s="844"/>
      <c r="G5" s="847"/>
      <c r="H5" s="202"/>
      <c r="I5" s="817" t="s">
        <v>138</v>
      </c>
      <c r="J5" s="817"/>
      <c r="K5" s="817"/>
      <c r="L5" s="206"/>
      <c r="M5" s="843" t="str">
        <f>T('2. LB data'!C5)</f>
        <v>Letenye Város Önkormányzata</v>
      </c>
      <c r="N5" s="844"/>
      <c r="O5" s="844"/>
      <c r="P5" s="844"/>
      <c r="Q5" s="844"/>
      <c r="R5" s="844"/>
      <c r="S5" s="844"/>
      <c r="T5" s="844"/>
      <c r="U5" s="847"/>
      <c r="V5" s="110"/>
      <c r="W5" s="82"/>
      <c r="X5" s="82"/>
      <c r="Y5" s="82"/>
      <c r="Z5" s="82"/>
      <c r="AA5" s="82"/>
      <c r="AB5" s="82"/>
      <c r="AC5" s="82"/>
      <c r="AD5" s="82"/>
      <c r="AE5" s="82"/>
      <c r="AF5" s="82"/>
      <c r="AG5" s="82"/>
      <c r="AH5" s="82"/>
      <c r="AI5" s="82"/>
      <c r="AJ5" s="82"/>
      <c r="AK5" s="82"/>
    </row>
    <row r="6" spans="1:37" x14ac:dyDescent="0.2">
      <c r="A6" s="101"/>
      <c r="B6" s="101"/>
      <c r="C6" s="107"/>
      <c r="E6" s="107"/>
      <c r="G6" s="107"/>
      <c r="I6" s="107"/>
      <c r="K6" s="107"/>
      <c r="M6" s="107"/>
      <c r="O6" s="107"/>
      <c r="Q6" s="107"/>
      <c r="S6" s="107"/>
      <c r="U6" s="107"/>
      <c r="W6" s="107"/>
      <c r="Y6" s="107"/>
      <c r="AA6" s="107"/>
      <c r="AC6" s="107"/>
      <c r="AE6" s="107"/>
      <c r="AG6" s="107"/>
      <c r="AI6" s="107"/>
      <c r="AK6" s="107"/>
    </row>
    <row r="7" spans="1:37" ht="12.75" customHeight="1" x14ac:dyDescent="0.2">
      <c r="C7" s="808" t="s">
        <v>64</v>
      </c>
      <c r="D7" s="838"/>
      <c r="E7" s="839"/>
      <c r="F7" s="109"/>
      <c r="G7" s="808" t="s">
        <v>337</v>
      </c>
      <c r="H7" s="840"/>
      <c r="I7" s="841"/>
      <c r="J7" s="109"/>
      <c r="K7" s="808" t="s">
        <v>338</v>
      </c>
      <c r="L7" s="840"/>
      <c r="M7" s="841"/>
      <c r="N7" s="110"/>
      <c r="O7" s="840" t="s">
        <v>339</v>
      </c>
      <c r="P7" s="840"/>
      <c r="Q7" s="841"/>
      <c r="R7" s="109"/>
      <c r="S7" s="808" t="s">
        <v>340</v>
      </c>
      <c r="T7" s="840"/>
      <c r="U7" s="841"/>
      <c r="V7" s="109"/>
      <c r="W7" s="808" t="s">
        <v>341</v>
      </c>
      <c r="X7" s="840"/>
      <c r="Y7" s="841"/>
      <c r="Z7" s="110"/>
      <c r="AA7" s="840" t="s">
        <v>342</v>
      </c>
      <c r="AB7" s="840"/>
      <c r="AC7" s="841"/>
      <c r="AD7" s="109"/>
      <c r="AE7" s="808" t="s">
        <v>343</v>
      </c>
      <c r="AF7" s="840"/>
      <c r="AG7" s="841"/>
      <c r="AH7" s="109"/>
      <c r="AI7" s="808" t="s">
        <v>136</v>
      </c>
      <c r="AJ7" s="850"/>
      <c r="AK7" s="851"/>
    </row>
    <row r="8" spans="1:37" ht="6" customHeight="1" x14ac:dyDescent="0.2">
      <c r="A8" s="62"/>
      <c r="C8" s="111"/>
      <c r="D8" s="103"/>
      <c r="E8" s="103"/>
      <c r="F8" s="82"/>
      <c r="G8" s="111"/>
      <c r="H8" s="103"/>
      <c r="I8" s="103"/>
      <c r="J8" s="82"/>
      <c r="K8" s="111"/>
      <c r="L8" s="103"/>
      <c r="M8" s="103"/>
      <c r="N8" s="82"/>
      <c r="O8" s="111"/>
      <c r="P8" s="103"/>
      <c r="Q8" s="103"/>
      <c r="R8" s="82"/>
      <c r="S8" s="111"/>
      <c r="T8" s="103"/>
      <c r="U8" s="103"/>
      <c r="V8" s="82"/>
      <c r="W8" s="111"/>
      <c r="X8" s="103"/>
      <c r="Y8" s="103"/>
      <c r="Z8" s="82"/>
      <c r="AA8" s="111"/>
      <c r="AB8" s="103"/>
      <c r="AC8" s="103"/>
      <c r="AD8" s="82"/>
      <c r="AE8" s="111"/>
      <c r="AF8" s="103"/>
      <c r="AG8" s="103"/>
      <c r="AH8" s="82"/>
      <c r="AI8" s="112"/>
      <c r="AJ8" s="82"/>
      <c r="AK8" s="82"/>
    </row>
    <row r="9" spans="1:37" ht="51" customHeight="1" x14ac:dyDescent="0.2">
      <c r="A9" s="71" t="s">
        <v>210</v>
      </c>
      <c r="C9" s="835" t="str">
        <f>T('2. LB data'!C5:F5)</f>
        <v>Letenye Város Önkormányzata</v>
      </c>
      <c r="D9" s="836"/>
      <c r="E9" s="837"/>
      <c r="F9" s="109"/>
      <c r="G9" s="832" t="str">
        <f>T('2. B1 data'!C5:F5)</f>
        <v xml:space="preserve">Grad Prelog </v>
      </c>
      <c r="H9" s="833"/>
      <c r="I9" s="834"/>
      <c r="J9" s="109"/>
      <c r="K9" s="832" t="str">
        <f>T('2. B2 data'!C5:F5)</f>
        <v>Grad Ludbreg</v>
      </c>
      <c r="L9" s="833"/>
      <c r="M9" s="834"/>
      <c r="N9" s="109"/>
      <c r="O9" s="832" t="str">
        <f>T('2. B3 data'!C5:F5)</f>
        <v>Županijska uprava za ceste Varaždinske županije</v>
      </c>
      <c r="P9" s="833"/>
      <c r="Q9" s="834"/>
      <c r="R9" s="109"/>
      <c r="S9" s="832" t="str">
        <f>T('2. B4 data'!C5:F5)</f>
        <v/>
      </c>
      <c r="T9" s="833"/>
      <c r="U9" s="834"/>
      <c r="V9" s="109"/>
      <c r="W9" s="832" t="str">
        <f>T('2. B5 data'!C5:F5)</f>
        <v/>
      </c>
      <c r="X9" s="833"/>
      <c r="Y9" s="834"/>
      <c r="Z9" s="109"/>
      <c r="AA9" s="832" t="str">
        <f>T('2. B6 data'!C5:F5)</f>
        <v/>
      </c>
      <c r="AB9" s="833"/>
      <c r="AC9" s="834"/>
      <c r="AD9" s="109"/>
      <c r="AE9" s="832" t="str">
        <f>T('2. B7 data'!C5:F5)</f>
        <v/>
      </c>
      <c r="AF9" s="833"/>
      <c r="AG9" s="834"/>
      <c r="AH9" s="110"/>
      <c r="AI9" s="848"/>
      <c r="AJ9" s="849"/>
      <c r="AK9" s="849"/>
    </row>
    <row r="10" spans="1:37" ht="6" customHeight="1" x14ac:dyDescent="0.2">
      <c r="A10" s="113"/>
      <c r="C10" s="111"/>
      <c r="D10" s="103"/>
      <c r="E10" s="103"/>
      <c r="F10" s="82"/>
      <c r="G10" s="111"/>
      <c r="H10" s="103"/>
      <c r="I10" s="103"/>
      <c r="J10" s="82"/>
      <c r="K10" s="111"/>
      <c r="L10" s="103"/>
      <c r="M10" s="103"/>
      <c r="N10" s="82"/>
      <c r="O10" s="111"/>
      <c r="P10" s="103"/>
      <c r="Q10" s="103"/>
      <c r="R10" s="82"/>
      <c r="S10" s="111"/>
      <c r="T10" s="103"/>
      <c r="U10" s="103"/>
      <c r="V10" s="82"/>
      <c r="W10" s="111"/>
      <c r="X10" s="103"/>
      <c r="Y10" s="103"/>
      <c r="Z10" s="82"/>
      <c r="AA10" s="111"/>
      <c r="AB10" s="103"/>
      <c r="AC10" s="103"/>
      <c r="AD10" s="82"/>
      <c r="AE10" s="111"/>
      <c r="AF10" s="103"/>
      <c r="AG10" s="103"/>
      <c r="AH10" s="82"/>
      <c r="AI10" s="114"/>
      <c r="AJ10" s="82"/>
      <c r="AK10" s="82"/>
    </row>
    <row r="11" spans="1:37" x14ac:dyDescent="0.2">
      <c r="A11" s="71" t="s">
        <v>61</v>
      </c>
      <c r="C11" s="832" t="str">
        <f>T('2. LB data'!C11)</f>
        <v>Hungary</v>
      </c>
      <c r="D11" s="833"/>
      <c r="E11" s="834"/>
      <c r="F11" s="110"/>
      <c r="G11" s="832" t="str">
        <f>T('2. B1 data'!C11)</f>
        <v>Croatia</v>
      </c>
      <c r="H11" s="833"/>
      <c r="I11" s="834"/>
      <c r="J11" s="110"/>
      <c r="K11" s="832" t="str">
        <f>T('2. B2 data'!C11)</f>
        <v>Croatia</v>
      </c>
      <c r="L11" s="833"/>
      <c r="M11" s="834"/>
      <c r="N11" s="110"/>
      <c r="O11" s="832" t="str">
        <f>T('2. B3 data'!C11)</f>
        <v>Croatia</v>
      </c>
      <c r="P11" s="833"/>
      <c r="Q11" s="834"/>
      <c r="R11" s="110"/>
      <c r="S11" s="832" t="str">
        <f>T('2. B4 data'!C11)</f>
        <v/>
      </c>
      <c r="T11" s="833"/>
      <c r="U11" s="834"/>
      <c r="V11" s="110"/>
      <c r="W11" s="832" t="str">
        <f>T('2. B5 data'!C11)</f>
        <v/>
      </c>
      <c r="X11" s="833"/>
      <c r="Y11" s="834"/>
      <c r="Z11" s="110"/>
      <c r="AA11" s="832" t="str">
        <f>T('2. B6 data'!C11)</f>
        <v/>
      </c>
      <c r="AB11" s="833"/>
      <c r="AC11" s="834"/>
      <c r="AD11" s="110"/>
      <c r="AE11" s="832" t="str">
        <f>T('2. B7 data'!C11)</f>
        <v/>
      </c>
      <c r="AF11" s="833"/>
      <c r="AG11" s="834"/>
      <c r="AH11" s="110"/>
      <c r="AI11" s="848"/>
      <c r="AJ11" s="849"/>
      <c r="AK11" s="849"/>
    </row>
    <row r="12" spans="1:37" ht="6" customHeight="1" x14ac:dyDescent="0.2">
      <c r="A12" s="113"/>
      <c r="C12" s="111"/>
      <c r="D12" s="103"/>
      <c r="E12" s="103"/>
      <c r="F12" s="82"/>
      <c r="G12" s="111"/>
      <c r="H12" s="103"/>
      <c r="I12" s="103"/>
      <c r="J12" s="82"/>
      <c r="K12" s="111"/>
      <c r="L12" s="103"/>
      <c r="M12" s="103"/>
      <c r="N12" s="82"/>
      <c r="O12" s="111"/>
      <c r="P12" s="103"/>
      <c r="Q12" s="103"/>
      <c r="R12" s="82"/>
      <c r="S12" s="111"/>
      <c r="T12" s="103"/>
      <c r="U12" s="103"/>
      <c r="V12" s="82"/>
      <c r="W12" s="111"/>
      <c r="X12" s="103"/>
      <c r="Y12" s="103"/>
      <c r="Z12" s="82"/>
      <c r="AA12" s="111"/>
      <c r="AB12" s="103"/>
      <c r="AC12" s="103"/>
      <c r="AD12" s="82"/>
      <c r="AE12" s="111"/>
      <c r="AF12" s="103"/>
      <c r="AG12" s="103"/>
      <c r="AH12" s="82"/>
      <c r="AI12" s="114"/>
      <c r="AJ12" s="82"/>
      <c r="AK12" s="82"/>
    </row>
    <row r="13" spans="1:37" x14ac:dyDescent="0.2">
      <c r="A13" s="71" t="s">
        <v>310</v>
      </c>
      <c r="C13" s="832" t="str">
        <f>T('2. LB data'!C13:D13)</f>
        <v>Zala megye</v>
      </c>
      <c r="D13" s="833"/>
      <c r="E13" s="834"/>
      <c r="F13" s="82"/>
      <c r="G13" s="832" t="str">
        <f>T('2. B1 data'!C13:D13)</f>
        <v>Međimurska županija</v>
      </c>
      <c r="H13" s="833"/>
      <c r="I13" s="834"/>
      <c r="J13" s="82"/>
      <c r="K13" s="832" t="str">
        <f>T('2. B2 data'!C13:D13)</f>
        <v>Varaždinska županija</v>
      </c>
      <c r="L13" s="833"/>
      <c r="M13" s="834"/>
      <c r="N13" s="82"/>
      <c r="O13" s="832" t="str">
        <f>T('2. B3 data'!C13:D13)</f>
        <v>Varaždinska županija</v>
      </c>
      <c r="P13" s="833"/>
      <c r="Q13" s="834"/>
      <c r="R13" s="82"/>
      <c r="S13" s="832" t="str">
        <f>T('2. B4 data'!C13:D13)</f>
        <v/>
      </c>
      <c r="T13" s="833"/>
      <c r="U13" s="834"/>
      <c r="V13" s="82"/>
      <c r="W13" s="832" t="str">
        <f>T('2. B5 data'!C13:D13)</f>
        <v/>
      </c>
      <c r="X13" s="833"/>
      <c r="Y13" s="834"/>
      <c r="Z13" s="82"/>
      <c r="AA13" s="832" t="str">
        <f>T('2. B6 data'!C13:D13)</f>
        <v/>
      </c>
      <c r="AB13" s="833"/>
      <c r="AC13" s="834"/>
      <c r="AD13" s="82"/>
      <c r="AE13" s="832" t="str">
        <f>T('2. B7 data'!C13:D13)</f>
        <v/>
      </c>
      <c r="AF13" s="833"/>
      <c r="AG13" s="834"/>
      <c r="AH13" s="82"/>
      <c r="AI13" s="848"/>
      <c r="AJ13" s="849"/>
      <c r="AK13" s="849"/>
    </row>
    <row r="14" spans="1:37" ht="6" customHeight="1" x14ac:dyDescent="0.2">
      <c r="A14" s="113"/>
      <c r="C14" s="112"/>
      <c r="D14" s="112"/>
      <c r="E14" s="112"/>
      <c r="F14" s="82"/>
      <c r="G14" s="111"/>
      <c r="H14" s="112"/>
      <c r="I14" s="112"/>
      <c r="J14" s="82"/>
      <c r="K14" s="111"/>
      <c r="L14" s="112"/>
      <c r="M14" s="112"/>
      <c r="N14" s="82"/>
      <c r="O14" s="112"/>
      <c r="P14" s="112"/>
      <c r="Q14" s="112"/>
      <c r="R14" s="82"/>
      <c r="S14" s="111"/>
      <c r="T14" s="112"/>
      <c r="U14" s="112"/>
      <c r="V14" s="82"/>
      <c r="W14" s="111"/>
      <c r="X14" s="112"/>
      <c r="Y14" s="112"/>
      <c r="Z14" s="82"/>
      <c r="AA14" s="112"/>
      <c r="AB14" s="112"/>
      <c r="AC14" s="112"/>
      <c r="AD14" s="82"/>
      <c r="AE14" s="111"/>
      <c r="AF14" s="112"/>
      <c r="AG14" s="112"/>
      <c r="AH14" s="82"/>
      <c r="AI14" s="103"/>
      <c r="AJ14" s="82"/>
      <c r="AK14" s="82"/>
    </row>
    <row r="15" spans="1:37" x14ac:dyDescent="0.2">
      <c r="A15" s="42" t="s">
        <v>82</v>
      </c>
      <c r="C15" s="99">
        <v>113285.93</v>
      </c>
      <c r="D15" s="115"/>
      <c r="E15" s="116" t="s">
        <v>59</v>
      </c>
      <c r="F15" s="117"/>
      <c r="G15" s="99">
        <v>50232</v>
      </c>
      <c r="H15" s="115"/>
      <c r="I15" s="116" t="s">
        <v>59</v>
      </c>
      <c r="J15" s="117"/>
      <c r="K15" s="99">
        <v>36399.629999999997</v>
      </c>
      <c r="L15" s="115"/>
      <c r="M15" s="116" t="s">
        <v>59</v>
      </c>
      <c r="N15" s="117"/>
      <c r="O15" s="99">
        <v>44931.13</v>
      </c>
      <c r="P15" s="115"/>
      <c r="Q15" s="116" t="s">
        <v>59</v>
      </c>
      <c r="R15" s="117"/>
      <c r="S15" s="99"/>
      <c r="T15" s="115"/>
      <c r="U15" s="116" t="s">
        <v>59</v>
      </c>
      <c r="V15" s="117"/>
      <c r="W15" s="99"/>
      <c r="X15" s="115"/>
      <c r="Y15" s="116" t="s">
        <v>59</v>
      </c>
      <c r="Z15" s="117"/>
      <c r="AA15" s="99"/>
      <c r="AB15" s="115"/>
      <c r="AC15" s="116" t="s">
        <v>59</v>
      </c>
      <c r="AD15" s="117"/>
      <c r="AE15" s="99"/>
      <c r="AF15" s="115"/>
      <c r="AG15" s="116" t="s">
        <v>59</v>
      </c>
      <c r="AH15" s="117"/>
      <c r="AI15" s="238">
        <f>C15+G15+K15+O15+S15+W15+AA15+AE15</f>
        <v>244848.69</v>
      </c>
      <c r="AJ15" s="116"/>
      <c r="AK15" s="116" t="s">
        <v>59</v>
      </c>
    </row>
    <row r="16" spans="1:37" ht="6" customHeight="1" x14ac:dyDescent="0.2">
      <c r="A16" s="113"/>
      <c r="C16" s="112"/>
      <c r="D16" s="114"/>
      <c r="E16" s="114"/>
      <c r="F16" s="82"/>
      <c r="G16" s="111"/>
      <c r="H16" s="114"/>
      <c r="I16" s="114"/>
      <c r="J16" s="82"/>
      <c r="K16" s="111"/>
      <c r="L16" s="114"/>
      <c r="M16" s="114"/>
      <c r="N16" s="82"/>
      <c r="O16" s="112"/>
      <c r="P16" s="114"/>
      <c r="Q16" s="114"/>
      <c r="R16" s="82"/>
      <c r="S16" s="111"/>
      <c r="T16" s="114"/>
      <c r="U16" s="114"/>
      <c r="V16" s="82"/>
      <c r="W16" s="111"/>
      <c r="X16" s="114"/>
      <c r="Y16" s="114"/>
      <c r="Z16" s="82"/>
      <c r="AA16" s="112"/>
      <c r="AB16" s="114"/>
      <c r="AC16" s="114"/>
      <c r="AD16" s="82"/>
      <c r="AE16" s="111"/>
      <c r="AF16" s="114"/>
      <c r="AG16" s="114"/>
      <c r="AH16" s="82"/>
      <c r="AI16" s="103"/>
      <c r="AJ16" s="82"/>
      <c r="AK16" s="82"/>
    </row>
    <row r="17" spans="1:37" x14ac:dyDescent="0.2">
      <c r="A17" s="352" t="s">
        <v>315</v>
      </c>
      <c r="C17" s="99">
        <v>0</v>
      </c>
      <c r="D17" s="115"/>
      <c r="E17" s="116" t="s">
        <v>59</v>
      </c>
      <c r="F17" s="117"/>
      <c r="G17" s="99">
        <v>0</v>
      </c>
      <c r="H17" s="115"/>
      <c r="I17" s="116" t="s">
        <v>59</v>
      </c>
      <c r="J17" s="117"/>
      <c r="K17" s="99">
        <v>0</v>
      </c>
      <c r="L17" s="115"/>
      <c r="M17" s="116" t="s">
        <v>59</v>
      </c>
      <c r="N17" s="117"/>
      <c r="O17" s="99">
        <v>0</v>
      </c>
      <c r="P17" s="115"/>
      <c r="Q17" s="116" t="s">
        <v>59</v>
      </c>
      <c r="R17" s="117"/>
      <c r="S17" s="99"/>
      <c r="T17" s="115"/>
      <c r="U17" s="116" t="s">
        <v>59</v>
      </c>
      <c r="V17" s="117"/>
      <c r="W17" s="99"/>
      <c r="X17" s="115"/>
      <c r="Y17" s="116" t="s">
        <v>59</v>
      </c>
      <c r="Z17" s="117"/>
      <c r="AA17" s="99"/>
      <c r="AB17" s="115"/>
      <c r="AC17" s="116" t="s">
        <v>59</v>
      </c>
      <c r="AD17" s="117"/>
      <c r="AE17" s="99"/>
      <c r="AF17" s="115"/>
      <c r="AG17" s="116" t="s">
        <v>59</v>
      </c>
      <c r="AH17" s="117"/>
      <c r="AI17" s="238">
        <f>C17+G17+K17+O17+S17+W17+AA17+AE17</f>
        <v>0</v>
      </c>
      <c r="AJ17" s="116"/>
      <c r="AK17" s="116" t="s">
        <v>59</v>
      </c>
    </row>
    <row r="18" spans="1:37" ht="6" customHeight="1" x14ac:dyDescent="0.2">
      <c r="A18" s="113"/>
      <c r="C18" s="103" t="s">
        <v>642</v>
      </c>
      <c r="D18" s="103"/>
      <c r="E18" s="103"/>
      <c r="F18" s="82"/>
      <c r="G18" s="103"/>
      <c r="H18" s="103"/>
      <c r="I18" s="103"/>
      <c r="J18" s="82"/>
      <c r="K18" s="103"/>
      <c r="L18" s="103"/>
      <c r="M18" s="103"/>
      <c r="N18" s="82"/>
      <c r="O18" s="103"/>
      <c r="P18" s="103"/>
      <c r="Q18" s="103"/>
      <c r="R18" s="82"/>
      <c r="S18" s="111"/>
      <c r="T18" s="103"/>
      <c r="U18" s="103"/>
      <c r="V18" s="82"/>
      <c r="W18" s="103"/>
      <c r="X18" s="103"/>
      <c r="Y18" s="103"/>
      <c r="Z18" s="82"/>
      <c r="AA18" s="103"/>
      <c r="AB18" s="103"/>
      <c r="AC18" s="103"/>
      <c r="AD18" s="82"/>
      <c r="AE18" s="111"/>
      <c r="AF18" s="103"/>
      <c r="AG18" s="103"/>
      <c r="AH18" s="82"/>
      <c r="AI18" s="103"/>
      <c r="AJ18" s="118"/>
      <c r="AK18" s="118"/>
    </row>
    <row r="19" spans="1:37" ht="25.5" x14ac:dyDescent="0.2">
      <c r="A19" s="119" t="s">
        <v>142</v>
      </c>
      <c r="B19" s="102"/>
      <c r="C19" s="86" t="s">
        <v>141</v>
      </c>
      <c r="D19" s="77"/>
      <c r="E19" s="86" t="s">
        <v>137</v>
      </c>
      <c r="F19" s="120"/>
      <c r="G19" s="86" t="s">
        <v>141</v>
      </c>
      <c r="H19" s="77"/>
      <c r="I19" s="86" t="s">
        <v>137</v>
      </c>
      <c r="J19" s="120"/>
      <c r="K19" s="86" t="s">
        <v>141</v>
      </c>
      <c r="L19" s="77"/>
      <c r="M19" s="86" t="s">
        <v>137</v>
      </c>
      <c r="N19" s="120"/>
      <c r="O19" s="86" t="s">
        <v>141</v>
      </c>
      <c r="P19" s="77"/>
      <c r="Q19" s="86" t="s">
        <v>137</v>
      </c>
      <c r="R19" s="120"/>
      <c r="S19" s="86" t="s">
        <v>141</v>
      </c>
      <c r="T19" s="77"/>
      <c r="U19" s="86" t="s">
        <v>137</v>
      </c>
      <c r="V19" s="120"/>
      <c r="W19" s="86" t="s">
        <v>141</v>
      </c>
      <c r="X19" s="77"/>
      <c r="Y19" s="86" t="s">
        <v>137</v>
      </c>
      <c r="Z19" s="120"/>
      <c r="AA19" s="86" t="s">
        <v>141</v>
      </c>
      <c r="AB19" s="77"/>
      <c r="AC19" s="86" t="s">
        <v>137</v>
      </c>
      <c r="AD19" s="120"/>
      <c r="AE19" s="86" t="s">
        <v>141</v>
      </c>
      <c r="AF19" s="77"/>
      <c r="AG19" s="86" t="s">
        <v>137</v>
      </c>
      <c r="AH19" s="120"/>
      <c r="AI19" s="86" t="s">
        <v>179</v>
      </c>
      <c r="AJ19" s="77"/>
      <c r="AK19" s="86" t="s">
        <v>137</v>
      </c>
    </row>
    <row r="20" spans="1:37" ht="3" customHeight="1" x14ac:dyDescent="0.2">
      <c r="A20" s="121"/>
      <c r="B20" s="104"/>
    </row>
    <row r="21" spans="1:37" x14ac:dyDescent="0.2">
      <c r="A21" s="68" t="s">
        <v>317</v>
      </c>
      <c r="B21" s="43"/>
      <c r="C21" s="90">
        <f>FLOOR(IF(AND((C27-C25)&gt;0,((0.85*C27)+C48)&gt;0),(0.85*C27)+C48,0),0.01)</f>
        <v>352390.87</v>
      </c>
      <c r="E21" s="91">
        <f>IF(C$27=0,0%,C21/C$27)</f>
        <v>0.8499999879395288</v>
      </c>
      <c r="F21" s="122"/>
      <c r="G21" s="90">
        <f>FLOOR(IF(AND((G27-G25)&gt;0,((0.85*G27)+G48)&gt;0),(0.85*G27)+G48,0),0.01)</f>
        <v>237366.75</v>
      </c>
      <c r="I21" s="91">
        <f>IF(G$27=0,0%,G21/G$27)</f>
        <v>0.85</v>
      </c>
      <c r="J21" s="122"/>
      <c r="K21" s="90">
        <f>FLOOR(IF(AND((K27-K25)&gt;0,((0.85*K27)+K48)&gt;0),(0.85*K27)+K48,0),0.01)</f>
        <v>123758.72</v>
      </c>
      <c r="M21" s="91">
        <f>IF(K$27=0,0%,K21/K$27)</f>
        <v>0.84999996565898683</v>
      </c>
      <c r="N21" s="122"/>
      <c r="O21" s="90">
        <f>FLOOR(IF(AND((O27-O25)&gt;0,((0.85*O27)+O48)&gt;0),(0.85*O27)+O48,0),0.01)</f>
        <v>152765.82</v>
      </c>
      <c r="Q21" s="91">
        <f>IF(O$27=0,0%,O21/O$27)</f>
        <v>0.84999997217964163</v>
      </c>
      <c r="R21" s="122"/>
      <c r="S21" s="90">
        <f>FLOOR(IF(AND((S27-S25)&gt;0,((0.85*S27)+S48)&gt;0),(0.85*S27)+S48,0),0.01)</f>
        <v>0</v>
      </c>
      <c r="U21" s="91">
        <f>IF(S$27=0,0%,S21/S$27)</f>
        <v>0</v>
      </c>
      <c r="V21" s="122"/>
      <c r="W21" s="90">
        <f>FLOOR(IF(AND((W27-W25)&gt;0,((0.85*W27)+W48)&gt;0),(0.85*W27)+W48,0),0.01)</f>
        <v>0</v>
      </c>
      <c r="Y21" s="91">
        <f>IF(W$27=0,0%,W21/W$27)</f>
        <v>0</v>
      </c>
      <c r="Z21" s="122"/>
      <c r="AA21" s="90">
        <f>FLOOR(IF(AND((AA27-AA25)&gt;0,((0.85*AA27)+AA48)&gt;0),(0.85*AA27)+AA48,0),0.01)</f>
        <v>0</v>
      </c>
      <c r="AC21" s="91">
        <f>IF(AA$27=0,0%,AA21/AA$27)</f>
        <v>0</v>
      </c>
      <c r="AD21" s="122"/>
      <c r="AE21" s="90">
        <f>FLOOR(IF(AND((AE27-AE25)&gt;0,((0.85*AE27)+AE48)&gt;0),(0.85*AE27)+AE48,0),0.01)</f>
        <v>0</v>
      </c>
      <c r="AG21" s="91">
        <f>IF(AE$27=0,0%,AE21/AE$27)</f>
        <v>0</v>
      </c>
      <c r="AH21" s="122"/>
      <c r="AI21" s="90">
        <f>AE21+AA21+W21+S21+O21+K21+G21+C21</f>
        <v>866282.16</v>
      </c>
      <c r="AK21" s="123">
        <f>IF(AI$27=0,0%,AI21/AI$27)</f>
        <v>0.84999998528193199</v>
      </c>
    </row>
    <row r="22" spans="1:37" ht="3" customHeight="1" x14ac:dyDescent="0.2">
      <c r="A22" s="121"/>
      <c r="B22" s="104"/>
      <c r="AK22" s="124"/>
    </row>
    <row r="23" spans="1:37" x14ac:dyDescent="0.2">
      <c r="A23" s="68" t="s">
        <v>407</v>
      </c>
      <c r="B23" s="43"/>
      <c r="C23" s="90">
        <f>C49</f>
        <v>41457.75</v>
      </c>
      <c r="E23" s="91">
        <f>IF(C$27=0,0%,C23/C$27)</f>
        <v>0.1</v>
      </c>
      <c r="G23" s="90">
        <f>G49</f>
        <v>0</v>
      </c>
      <c r="I23" s="91">
        <f>IF(G$27=0,0%,G23/G$27)</f>
        <v>0</v>
      </c>
      <c r="K23" s="90">
        <f>K49</f>
        <v>0</v>
      </c>
      <c r="M23" s="91">
        <f>IF(K$27=0,0%,K23/K$27)</f>
        <v>0</v>
      </c>
      <c r="O23" s="90">
        <f>O49</f>
        <v>0</v>
      </c>
      <c r="Q23" s="91">
        <f>IF(O$27=0,0%,O23/O$27)</f>
        <v>0</v>
      </c>
      <c r="S23" s="90">
        <f>S49</f>
        <v>0</v>
      </c>
      <c r="U23" s="91">
        <f>IF(S$27=0,0%,S23/S$27)</f>
        <v>0</v>
      </c>
      <c r="W23" s="90">
        <f>W49</f>
        <v>0</v>
      </c>
      <c r="Y23" s="91">
        <f>IF(W$27=0,0%,W23/W$27)</f>
        <v>0</v>
      </c>
      <c r="AA23" s="90">
        <f>AA49</f>
        <v>0</v>
      </c>
      <c r="AC23" s="91">
        <f>IF(AA$27=0,0%,AA23/AA$27)</f>
        <v>0</v>
      </c>
      <c r="AE23" s="90">
        <f>AE49</f>
        <v>0</v>
      </c>
      <c r="AG23" s="91">
        <f>IF(AE$27=0,0%,AE23/AE$27)</f>
        <v>0</v>
      </c>
      <c r="AI23" s="90">
        <f>W23+AA23+AE23+S23+O23+K23+G23+C23</f>
        <v>41457.75</v>
      </c>
      <c r="AK23" s="123">
        <f>IF(AI$27=0,0%,AI23/AI$27)</f>
        <v>4.0678532373126575E-2</v>
      </c>
    </row>
    <row r="24" spans="1:37" ht="3" customHeight="1" x14ac:dyDescent="0.2">
      <c r="A24" s="121"/>
      <c r="B24" s="104"/>
      <c r="AK24" s="124"/>
    </row>
    <row r="25" spans="1:37" s="85" customFormat="1" ht="12.75" customHeight="1" x14ac:dyDescent="0.2">
      <c r="A25" s="126" t="s">
        <v>309</v>
      </c>
      <c r="B25" s="104"/>
      <c r="C25" s="98">
        <f>CEILING(IF(AND(C42=2,C54&lt;C27),C54,IF(AND(C42=1,C53&lt;C27),C53,0)),0.01)</f>
        <v>20728.88</v>
      </c>
      <c r="D25" s="44"/>
      <c r="E25" s="91">
        <f>IF(C$27=0,0%,C25/C$27)</f>
        <v>5.0000012060471208E-2</v>
      </c>
      <c r="F25" s="44"/>
      <c r="G25" s="98">
        <f>CEILING(IF(AND(G42=2,G54&lt;G27),G54,IF(AND(G42=1,G53&lt;G27),G53,0)),0.01)</f>
        <v>41888.25</v>
      </c>
      <c r="H25" s="44"/>
      <c r="I25" s="91">
        <f>IF(G$27=0,0%,G25/G$27)</f>
        <v>0.15</v>
      </c>
      <c r="J25" s="44"/>
      <c r="K25" s="98">
        <f>CEILING(IF(AND(K42=2,K54&lt;K27),K54,IF(AND(K42=1,K53&lt;K27),K53,0)),0.01)</f>
        <v>21839.78</v>
      </c>
      <c r="L25" s="44"/>
      <c r="M25" s="91">
        <f>IF(K$27=0,0%,K25/K$27)</f>
        <v>0.15000003434101311</v>
      </c>
      <c r="N25" s="44"/>
      <c r="O25" s="98">
        <f>CEILING(IF(AND(O42=2,O54&lt;O27),O54,IF(AND(O42=1,O53&lt;O27),O53,0)),0.01)</f>
        <v>26958.68</v>
      </c>
      <c r="P25" s="44"/>
      <c r="Q25" s="91">
        <f>IF(O$27=0,0%,O25/O$27)</f>
        <v>0.15000002782035837</v>
      </c>
      <c r="R25" s="44"/>
      <c r="S25" s="98">
        <f>CEILING(IF(AND(S42=2,S54&lt;S27),S54,IF(AND(S42=1,S53&lt;S27),S53,0)),0.01)</f>
        <v>0</v>
      </c>
      <c r="T25" s="44"/>
      <c r="U25" s="91">
        <f>IF(S$27=0,0%,S25/S$27)</f>
        <v>0</v>
      </c>
      <c r="V25" s="44"/>
      <c r="W25" s="98">
        <f>CEILING(IF(AND(W42=2,W54&lt;W27),W54,IF(AND(W42=1,W53&lt;W27),W53,0)),0.01)</f>
        <v>0</v>
      </c>
      <c r="X25" s="44"/>
      <c r="Y25" s="91">
        <f>IF(W$27=0,0%,W25/W$27)</f>
        <v>0</v>
      </c>
      <c r="Z25" s="44"/>
      <c r="AA25" s="98">
        <f>CEILING(IF(AND(AA42=2,AA54&lt;AA27),AA54,IF(AND(AA42=1,AA53&lt;AA27),AA53,0)),0.01)</f>
        <v>0</v>
      </c>
      <c r="AB25" s="44"/>
      <c r="AC25" s="91">
        <f>IF(AA$27=0,0%,AA25/AA$27)</f>
        <v>0</v>
      </c>
      <c r="AD25" s="44"/>
      <c r="AE25" s="98">
        <f>CEILING(IF(AND(AE42=2,AE54&lt;AE27),AE54,IF(AND(AE42=1,AE53&lt;AE27),AE53,0)),0.01)</f>
        <v>0</v>
      </c>
      <c r="AF25" s="44"/>
      <c r="AG25" s="91">
        <f>IF(AE$27=0,0%,AE25/AE$27)</f>
        <v>0</v>
      </c>
      <c r="AH25" s="44"/>
      <c r="AI25" s="90">
        <f>AE25+AA25+W25+S25+O25+K25+G25+C25</f>
        <v>111415.59</v>
      </c>
      <c r="AJ25" s="44"/>
      <c r="AK25" s="123">
        <f>IF(AI$27=0,0%,AI25/AI$27)</f>
        <v>0.10932148234494148</v>
      </c>
    </row>
    <row r="26" spans="1:37" s="85" customFormat="1" ht="3" customHeight="1" x14ac:dyDescent="0.2">
      <c r="A26" s="125"/>
      <c r="B26" s="105"/>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124"/>
    </row>
    <row r="27" spans="1:37" s="85" customFormat="1" x14ac:dyDescent="0.2">
      <c r="A27" s="68" t="s">
        <v>140</v>
      </c>
      <c r="B27" s="43"/>
      <c r="C27" s="90">
        <f>'9. Project budget summary'!D41</f>
        <v>414577.5</v>
      </c>
      <c r="D27" s="44"/>
      <c r="E27" s="91">
        <f>IF(C$27=0,0%,C27/C$27)</f>
        <v>1</v>
      </c>
      <c r="F27" s="44"/>
      <c r="G27" s="90">
        <f>'9. Project budget summary'!F41</f>
        <v>279255</v>
      </c>
      <c r="H27" s="44"/>
      <c r="I27" s="91">
        <f>IF(G$27=0,0%,G27/G$27)</f>
        <v>1</v>
      </c>
      <c r="J27" s="44"/>
      <c r="K27" s="90">
        <f>'9. Project budget summary'!H41</f>
        <v>145598.5</v>
      </c>
      <c r="L27" s="44"/>
      <c r="M27" s="91">
        <f>IF(K$27=0,0%,K27/K$27)</f>
        <v>1</v>
      </c>
      <c r="N27" s="44"/>
      <c r="O27" s="90">
        <f>'9. Project budget summary'!J41</f>
        <v>179724.5</v>
      </c>
      <c r="P27" s="44"/>
      <c r="Q27" s="91">
        <f>IF(O$27=0,0%,O27/O$27)</f>
        <v>1</v>
      </c>
      <c r="R27" s="44"/>
      <c r="S27" s="90">
        <f>'9. Project budget summary'!L41</f>
        <v>0</v>
      </c>
      <c r="T27" s="44"/>
      <c r="U27" s="91">
        <f>IF(S$27=0,0%,S27/S$27)</f>
        <v>0</v>
      </c>
      <c r="V27" s="44"/>
      <c r="W27" s="90">
        <f>'9. Project budget summary'!N41</f>
        <v>0</v>
      </c>
      <c r="X27" s="44"/>
      <c r="Y27" s="91">
        <f>IF(W$27=0,0%,W27/W$27)</f>
        <v>0</v>
      </c>
      <c r="Z27" s="44"/>
      <c r="AA27" s="90">
        <f>'9. Project budget summary'!P41</f>
        <v>0</v>
      </c>
      <c r="AB27" s="44"/>
      <c r="AC27" s="91">
        <f>IF(AA$27=0,0%,AA27/AA$27)</f>
        <v>0</v>
      </c>
      <c r="AD27" s="44"/>
      <c r="AE27" s="90">
        <f>'9. Project budget summary'!R41</f>
        <v>0</v>
      </c>
      <c r="AF27" s="44"/>
      <c r="AG27" s="91">
        <f>IF(AE$27=0,0%,AE27/AE$27)</f>
        <v>0</v>
      </c>
      <c r="AH27" s="44"/>
      <c r="AI27" s="90">
        <f>AE27+AA27+W27+S27+O27+K27+G27+C27</f>
        <v>1019155.5</v>
      </c>
      <c r="AJ27" s="44"/>
      <c r="AK27" s="123">
        <f>IF(AI$27=0,0%,AI27/AI$27)</f>
        <v>1</v>
      </c>
    </row>
    <row r="28" spans="1:37" s="85" customFormat="1" ht="3" customHeight="1" x14ac:dyDescent="0.2">
      <c r="A28" s="121"/>
      <c r="B28" s="10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124"/>
    </row>
    <row r="29" spans="1:37" s="85" customFormat="1" x14ac:dyDescent="0.2">
      <c r="A29" s="83" t="s">
        <v>177</v>
      </c>
      <c r="B29" s="104"/>
      <c r="C29" s="99">
        <v>0</v>
      </c>
      <c r="D29" s="44"/>
      <c r="E29" s="91">
        <f>IF(C$27=0,0%,C29/C$27)</f>
        <v>0</v>
      </c>
      <c r="F29" s="44"/>
      <c r="G29" s="99">
        <v>0</v>
      </c>
      <c r="H29" s="44"/>
      <c r="I29" s="91">
        <f>IF(G$27=0,0%,G29/G$27)</f>
        <v>0</v>
      </c>
      <c r="J29" s="44"/>
      <c r="K29" s="99">
        <v>0</v>
      </c>
      <c r="L29" s="44"/>
      <c r="M29" s="91">
        <f>IF(K$27=0,0%,K29/K$27)</f>
        <v>0</v>
      </c>
      <c r="N29" s="44"/>
      <c r="O29" s="99">
        <v>0</v>
      </c>
      <c r="P29" s="44"/>
      <c r="Q29" s="91">
        <f>IF(O$27=0,0%,O29/O$27)</f>
        <v>0</v>
      </c>
      <c r="R29" s="44"/>
      <c r="S29" s="99"/>
      <c r="T29" s="44"/>
      <c r="U29" s="91">
        <f>IF(S$27=0,0%,S29/S$27)</f>
        <v>0</v>
      </c>
      <c r="V29" s="44"/>
      <c r="W29" s="99"/>
      <c r="X29" s="44"/>
      <c r="Y29" s="91">
        <f>IF(W$27=0,0%,W29/W$27)</f>
        <v>0</v>
      </c>
      <c r="Z29" s="44"/>
      <c r="AA29" s="99"/>
      <c r="AB29" s="44"/>
      <c r="AC29" s="91">
        <f>IF(AA$27=0,0%,AA29/AA$27)</f>
        <v>0</v>
      </c>
      <c r="AD29" s="44"/>
      <c r="AE29" s="99"/>
      <c r="AF29" s="44"/>
      <c r="AG29" s="91">
        <f>IF(AE$27=0,0%,AE29/AE$27)</f>
        <v>0</v>
      </c>
      <c r="AH29" s="44"/>
      <c r="AI29" s="90">
        <f>AE29+AA29+W29+S29+O29+K29+G29+C29</f>
        <v>0</v>
      </c>
      <c r="AJ29" s="44"/>
      <c r="AK29" s="123">
        <f>IF(AI$27=0,0%,AI29/AI$27)</f>
        <v>0</v>
      </c>
    </row>
    <row r="30" spans="1:37" s="85" customFormat="1" ht="3" customHeight="1" x14ac:dyDescent="0.2">
      <c r="A30" s="121"/>
      <c r="B30" s="104"/>
      <c r="C30" s="81"/>
      <c r="D30" s="44"/>
      <c r="E30" s="44"/>
      <c r="F30" s="44"/>
      <c r="G30" s="81"/>
      <c r="H30" s="44"/>
      <c r="I30" s="44"/>
      <c r="J30" s="44"/>
      <c r="K30" s="81"/>
      <c r="L30" s="44"/>
      <c r="M30" s="44"/>
      <c r="N30" s="44"/>
      <c r="O30" s="81"/>
      <c r="P30" s="44"/>
      <c r="Q30" s="44"/>
      <c r="R30" s="44"/>
      <c r="S30" s="81"/>
      <c r="T30" s="44"/>
      <c r="U30" s="44"/>
      <c r="V30" s="44"/>
      <c r="W30" s="81"/>
      <c r="X30" s="44"/>
      <c r="Y30" s="44"/>
      <c r="Z30" s="44"/>
      <c r="AA30" s="81"/>
      <c r="AB30" s="44"/>
      <c r="AC30" s="44"/>
      <c r="AD30" s="44"/>
      <c r="AE30" s="81"/>
      <c r="AF30" s="44"/>
      <c r="AG30" s="44"/>
      <c r="AH30" s="44"/>
      <c r="AI30" s="44"/>
      <c r="AJ30" s="44"/>
      <c r="AK30" s="124"/>
    </row>
    <row r="31" spans="1:37" s="85" customFormat="1" x14ac:dyDescent="0.2">
      <c r="A31" s="350" t="s">
        <v>308</v>
      </c>
      <c r="B31" s="16"/>
      <c r="C31" s="351">
        <f>C27-C29</f>
        <v>414577.5</v>
      </c>
      <c r="D31" s="12"/>
      <c r="E31" s="285">
        <f>IF(C$27=0,0%,C31/C$27)</f>
        <v>1</v>
      </c>
      <c r="F31" s="12"/>
      <c r="G31" s="351">
        <f>G27-G29</f>
        <v>279255</v>
      </c>
      <c r="H31" s="12"/>
      <c r="I31" s="285">
        <f>IF(G$27=0,0%,G31/G$27)</f>
        <v>1</v>
      </c>
      <c r="J31" s="12"/>
      <c r="K31" s="351">
        <f>K27-K29</f>
        <v>145598.5</v>
      </c>
      <c r="L31" s="12"/>
      <c r="M31" s="285">
        <f>IF(K$27=0,0%,K31/K$27)</f>
        <v>1</v>
      </c>
      <c r="N31" s="12"/>
      <c r="O31" s="351">
        <f>O27-O29</f>
        <v>179724.5</v>
      </c>
      <c r="P31" s="12"/>
      <c r="Q31" s="285">
        <f>IF(O$27=0,0%,O31/O$27)</f>
        <v>1</v>
      </c>
      <c r="R31" s="12"/>
      <c r="S31" s="351">
        <f>S27-S29</f>
        <v>0</v>
      </c>
      <c r="T31" s="12"/>
      <c r="U31" s="285">
        <f>IF(S$27=0,0%,S31/S$27)</f>
        <v>0</v>
      </c>
      <c r="V31" s="12"/>
      <c r="W31" s="351">
        <f>W27-W29</f>
        <v>0</v>
      </c>
      <c r="X31" s="12"/>
      <c r="Y31" s="285">
        <f>IF(W$27=0,0%,W31/W$27)</f>
        <v>0</v>
      </c>
      <c r="Z31" s="12"/>
      <c r="AA31" s="351">
        <f>AA27-AA29</f>
        <v>0</v>
      </c>
      <c r="AB31" s="12"/>
      <c r="AC31" s="285">
        <f>IF(AA$27=0,0%,AA31/AA$27)</f>
        <v>0</v>
      </c>
      <c r="AD31" s="12"/>
      <c r="AE31" s="351">
        <f>AE27-AE29</f>
        <v>0</v>
      </c>
      <c r="AF31" s="12"/>
      <c r="AG31" s="285">
        <f>IF(AE$27=0,0%,AE31/AE$27)</f>
        <v>0</v>
      </c>
      <c r="AH31" s="12"/>
      <c r="AI31" s="351">
        <f>AE31+AA31+W31+S31+O31+K31+G31+C31</f>
        <v>1019155.5</v>
      </c>
      <c r="AJ31" s="12"/>
      <c r="AK31" s="285">
        <f>IF(AI$27=0,0%,AI31/AI$27)</f>
        <v>1</v>
      </c>
    </row>
    <row r="32" spans="1:37" s="85" customFormat="1" ht="3" customHeight="1" x14ac:dyDescent="0.2">
      <c r="A32" s="121"/>
      <c r="B32" s="10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124"/>
    </row>
    <row r="33" spans="1:37" s="85" customFormat="1" x14ac:dyDescent="0.2">
      <c r="A33" s="41" t="s">
        <v>69</v>
      </c>
      <c r="B33" s="44"/>
      <c r="C33" s="99">
        <v>0</v>
      </c>
      <c r="D33" s="44"/>
      <c r="E33" s="91">
        <f>IF(C$27=0,0%,C33/C$27)</f>
        <v>0</v>
      </c>
      <c r="F33" s="44"/>
      <c r="G33" s="99">
        <v>0</v>
      </c>
      <c r="H33" s="44"/>
      <c r="I33" s="91">
        <f>IF(G$27=0,0%,G33/G$27)</f>
        <v>0</v>
      </c>
      <c r="J33" s="44"/>
      <c r="K33" s="99">
        <v>0</v>
      </c>
      <c r="L33" s="44"/>
      <c r="M33" s="91">
        <f>IF(K$27=0,0%,K33/K$27)</f>
        <v>0</v>
      </c>
      <c r="N33" s="44"/>
      <c r="O33" s="99">
        <v>0</v>
      </c>
      <c r="P33" s="44"/>
      <c r="Q33" s="91">
        <f>IF(O$27=0,0%,O33/O$27)</f>
        <v>0</v>
      </c>
      <c r="R33" s="44"/>
      <c r="S33" s="99"/>
      <c r="T33" s="44"/>
      <c r="U33" s="91">
        <f>IF(S$27=0,0%,S33/S$27)</f>
        <v>0</v>
      </c>
      <c r="V33" s="44"/>
      <c r="W33" s="99"/>
      <c r="X33" s="44"/>
      <c r="Y33" s="91">
        <f>IF(W$27=0,0%,W33/W$27)</f>
        <v>0</v>
      </c>
      <c r="Z33" s="44"/>
      <c r="AA33" s="99"/>
      <c r="AB33" s="44"/>
      <c r="AC33" s="91">
        <f>IF(AA$27=0,0%,AA33/AA$27)</f>
        <v>0</v>
      </c>
      <c r="AD33" s="44"/>
      <c r="AE33" s="99"/>
      <c r="AF33" s="44"/>
      <c r="AG33" s="91">
        <f>IF(AE$27=0,0%,AE33/AE$27)</f>
        <v>0</v>
      </c>
      <c r="AH33" s="44"/>
      <c r="AI33" s="90">
        <f>AE33+AA33+W33+S33+O33+K33+G33+C33</f>
        <v>0</v>
      </c>
      <c r="AJ33" s="44"/>
      <c r="AK33" s="123">
        <f>IF(AI$27=0,0%,AI33/AI$27)</f>
        <v>0</v>
      </c>
    </row>
    <row r="34" spans="1:37" ht="111" customHeight="1" thickBot="1" x14ac:dyDescent="0.25">
      <c r="C34" s="842">
        <f>IF(C17&gt;0,"Minimum own contribution is 5% for Hungarian LB / Bs (except for Budgetary org. of the central national budget) and 15% for Croatian LB / Bs. Extra amount of own contribution is not needed to your application!",0)</f>
        <v>0</v>
      </c>
      <c r="D34" s="842"/>
      <c r="E34" s="842"/>
      <c r="G34" s="842">
        <f>IF(G17&gt;0,"Minimum own contribution is 5% for Hungarian LB / Bs (except for Budgetary org. of the central national budget) and 15% for Croatian LB / Bs. Extra amount of own contribution is not needed to your application!",0)</f>
        <v>0</v>
      </c>
      <c r="H34" s="842"/>
      <c r="I34" s="842"/>
      <c r="K34" s="842">
        <f>IF(K17&gt;0,"Minimum own contribution is 5% for Hungarian LB / Bs (except for Budgetary org. of the central national budget) and 15% for Croatian LB / Bs. Extra amount of own contribution is not needed to your application!",0)</f>
        <v>0</v>
      </c>
      <c r="L34" s="842"/>
      <c r="M34" s="842"/>
      <c r="O34" s="842">
        <f>IF(O17&gt;0,"Minimum own contribution is 5% for Hungarian LB / Bs (except for Budgetary org. of the central national budget) and 15% for Croatian LB / Bs. Extra amount of own contribution is not needed to your application!",0)</f>
        <v>0</v>
      </c>
      <c r="P34" s="842"/>
      <c r="Q34" s="842"/>
      <c r="S34" s="842">
        <f>IF(S17&gt;0,"Minimum own contribution is 5% for Hungarian LB / Bs (except for Budgetary org. of the central national budget) and 15% for Croatian LB / Bs. Extra amount of own contribution is not needed to your application!",0)</f>
        <v>0</v>
      </c>
      <c r="T34" s="842"/>
      <c r="U34" s="842"/>
      <c r="W34" s="842">
        <f>IF(W17&gt;0,"Minimum own contribution is 5% for Hungarian LB / Bs (except for Budgetary org. of the central national budget) and 15% for Croatian LB / Bs. Extra amount of own contribution is not needed to your application!",0)</f>
        <v>0</v>
      </c>
      <c r="X34" s="842"/>
      <c r="Y34" s="842"/>
      <c r="AA34" s="842">
        <f>IF(AA17&gt;0,"Minimum own contribution is 5% for Hungarian LB / Bs (except for Budgetary org. of the central national budget) and 15% for Croatian LB / Bs. Extra amount of own contribution is not needed to your application!",0)</f>
        <v>0</v>
      </c>
      <c r="AB34" s="842"/>
      <c r="AC34" s="842"/>
      <c r="AE34" s="842">
        <f>IF(AE17&gt;0,"Minimum own contribution is 5% for Hungarian LB / Bs (except for Budgetary org. of the central national budget) and 15% for Croatian LB / Bs. Extra amount of own contribution is not needed to your application!",0)</f>
        <v>0</v>
      </c>
      <c r="AF34" s="842"/>
      <c r="AG34" s="842"/>
    </row>
    <row r="35" spans="1:37" ht="16.5" x14ac:dyDescent="0.3">
      <c r="A35" s="825" t="s">
        <v>307</v>
      </c>
      <c r="B35" s="826"/>
      <c r="C35" s="826"/>
      <c r="D35" s="826"/>
      <c r="E35" s="826"/>
      <c r="F35" s="826"/>
      <c r="G35" s="826"/>
      <c r="H35" s="826"/>
      <c r="I35" s="826"/>
      <c r="J35" s="826"/>
      <c r="K35" s="826"/>
      <c r="L35" s="826"/>
      <c r="M35" s="826"/>
      <c r="N35" s="826"/>
      <c r="O35" s="826"/>
      <c r="P35" s="826"/>
      <c r="Q35" s="826"/>
      <c r="R35" s="826"/>
      <c r="S35" s="826"/>
      <c r="T35" s="826"/>
      <c r="U35" s="826"/>
      <c r="V35" s="826"/>
      <c r="W35" s="826"/>
      <c r="X35" s="826"/>
      <c r="Y35" s="826"/>
      <c r="Z35" s="826"/>
      <c r="AA35" s="826"/>
      <c r="AB35" s="826"/>
      <c r="AC35" s="826"/>
      <c r="AD35" s="826"/>
      <c r="AE35" s="826"/>
      <c r="AF35" s="826"/>
      <c r="AG35" s="826"/>
      <c r="AH35" s="826"/>
      <c r="AI35" s="827"/>
      <c r="AJ35" s="211"/>
      <c r="AK35" s="70"/>
    </row>
    <row r="36" spans="1:37" ht="14.25" x14ac:dyDescent="0.3">
      <c r="A36" s="820" t="s">
        <v>344</v>
      </c>
      <c r="B36" s="584"/>
      <c r="C36" s="584"/>
      <c r="D36" s="584"/>
      <c r="E36" s="584"/>
      <c r="F36" s="584"/>
      <c r="G36" s="584"/>
      <c r="H36" s="584"/>
      <c r="I36" s="584"/>
      <c r="J36" s="584"/>
      <c r="K36" s="584"/>
      <c r="L36" s="584"/>
      <c r="M36" s="584"/>
      <c r="N36" s="584"/>
      <c r="O36" s="584"/>
      <c r="P36" s="584"/>
      <c r="Q36" s="584"/>
      <c r="R36" s="584"/>
      <c r="S36" s="584"/>
      <c r="T36" s="584"/>
      <c r="U36" s="584"/>
      <c r="V36" s="584"/>
      <c r="W36" s="584"/>
      <c r="X36" s="584"/>
      <c r="Y36" s="584"/>
      <c r="Z36" s="584"/>
      <c r="AA36" s="584"/>
      <c r="AB36" s="584"/>
      <c r="AC36" s="584"/>
      <c r="AD36" s="584"/>
      <c r="AE36" s="584"/>
      <c r="AF36" s="584"/>
      <c r="AG36" s="584"/>
      <c r="AH36" s="584"/>
      <c r="AI36" s="821"/>
      <c r="AJ36" s="211"/>
      <c r="AK36" s="70"/>
    </row>
    <row r="37" spans="1:37" ht="16.5" x14ac:dyDescent="0.3">
      <c r="A37" s="820" t="s">
        <v>379</v>
      </c>
      <c r="B37" s="828"/>
      <c r="C37" s="828"/>
      <c r="D37" s="828"/>
      <c r="E37" s="828"/>
      <c r="F37" s="828"/>
      <c r="G37" s="828"/>
      <c r="H37" s="828"/>
      <c r="I37" s="828"/>
      <c r="J37" s="828"/>
      <c r="K37" s="828"/>
      <c r="L37" s="828"/>
      <c r="M37" s="828"/>
      <c r="N37" s="828"/>
      <c r="O37" s="828"/>
      <c r="P37" s="828"/>
      <c r="Q37" s="828"/>
      <c r="R37" s="828"/>
      <c r="S37" s="828"/>
      <c r="T37" s="828"/>
      <c r="U37" s="828"/>
      <c r="V37" s="828"/>
      <c r="W37" s="828"/>
      <c r="X37" s="828"/>
      <c r="Y37" s="828"/>
      <c r="Z37" s="828"/>
      <c r="AA37" s="828"/>
      <c r="AB37" s="828"/>
      <c r="AC37" s="828"/>
      <c r="AD37" s="828"/>
      <c r="AE37" s="828"/>
      <c r="AF37" s="828"/>
      <c r="AG37" s="828"/>
      <c r="AH37" s="828"/>
      <c r="AI37" s="821"/>
      <c r="AJ37" s="211"/>
      <c r="AK37" s="70"/>
    </row>
    <row r="38" spans="1:37" ht="2.25" customHeight="1" thickBot="1" x14ac:dyDescent="0.35">
      <c r="A38" s="822"/>
      <c r="B38" s="823"/>
      <c r="C38" s="823"/>
      <c r="D38" s="823"/>
      <c r="E38" s="823"/>
      <c r="F38" s="823"/>
      <c r="G38" s="823"/>
      <c r="H38" s="823"/>
      <c r="I38" s="823"/>
      <c r="J38" s="823"/>
      <c r="K38" s="823"/>
      <c r="L38" s="823"/>
      <c r="M38" s="823"/>
      <c r="N38" s="823"/>
      <c r="O38" s="823"/>
      <c r="P38" s="823"/>
      <c r="Q38" s="823"/>
      <c r="R38" s="823"/>
      <c r="S38" s="823"/>
      <c r="T38" s="823"/>
      <c r="U38" s="823"/>
      <c r="V38" s="823"/>
      <c r="W38" s="823"/>
      <c r="X38" s="823"/>
      <c r="Y38" s="823"/>
      <c r="Z38" s="823"/>
      <c r="AA38" s="823"/>
      <c r="AB38" s="823"/>
      <c r="AC38" s="823"/>
      <c r="AD38" s="823"/>
      <c r="AE38" s="823"/>
      <c r="AF38" s="823"/>
      <c r="AG38" s="823"/>
      <c r="AH38" s="823"/>
      <c r="AI38" s="824"/>
    </row>
    <row r="39" spans="1:37" ht="16.5" hidden="1" customHeight="1" x14ac:dyDescent="0.2">
      <c r="A39" s="293"/>
      <c r="B39" s="293"/>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11"/>
    </row>
    <row r="40" spans="1:37" hidden="1" x14ac:dyDescent="0.2"/>
    <row r="41" spans="1:37" hidden="1" x14ac:dyDescent="0.2">
      <c r="A41" s="79"/>
    </row>
    <row r="42" spans="1:37" hidden="1" x14ac:dyDescent="0.2">
      <c r="A42" s="79" t="s">
        <v>212</v>
      </c>
      <c r="C42" s="44">
        <f>IF('2. LB data'!$C11="Hungary",1,IF('2. LB data'!$C11="Croatia",2,0))</f>
        <v>1</v>
      </c>
      <c r="G42" s="44">
        <f>IF('2. B1 data'!$C11="Hungary",1,IF('2. B1 data'!$C11="Croatia",2,0))</f>
        <v>2</v>
      </c>
      <c r="K42" s="44">
        <f>IF('2. B2 data'!$C11="Hungary",1,IF('2. B2 data'!$C11="Croatia",2,0))</f>
        <v>2</v>
      </c>
      <c r="O42" s="44">
        <f>IF('2. B3 data'!$C11="Hungary",1,IF('2. B3 data'!$C11="Croatia",2,0))</f>
        <v>2</v>
      </c>
      <c r="S42" s="44">
        <f>IF('2. B4 data'!$C11="Hungary",1,IF('2. B4 data'!$C11="Croatia",2,0))</f>
        <v>0</v>
      </c>
      <c r="W42" s="44">
        <f>IF('2. B5 data'!$C11="Hungary",1,IF('2. B5 data'!$C11="Croatia",2,0))</f>
        <v>0</v>
      </c>
      <c r="AA42" s="44">
        <f>IF('2. B6 data'!$C11="Hungary",1,IF('2. B6 data'!$C11="Croatia",2,0))</f>
        <v>0</v>
      </c>
      <c r="AE42" s="44">
        <f>IF('2. B7 data'!$C11="Hungary",1,IF('2. B7 data'!$C11="Croatia",2,0))</f>
        <v>0</v>
      </c>
    </row>
    <row r="43" spans="1:37" ht="27.75" hidden="1" customHeight="1" x14ac:dyDescent="0.2">
      <c r="C43" s="44" t="str">
        <f>T('2. LB data'!C21:F21)</f>
        <v>Local government</v>
      </c>
      <c r="G43" s="44" t="str">
        <f>T('2. B1 data'!C21:F21)</f>
        <v>Local government</v>
      </c>
      <c r="K43" s="44" t="str">
        <f>T('2. B2 data'!C21:F21)</f>
        <v>Local government</v>
      </c>
      <c r="O43" s="44" t="str">
        <f>T('2. B3 data'!C21:F21)</f>
        <v>Public non-profit company</v>
      </c>
      <c r="S43" s="44" t="str">
        <f>T('2. B4 data'!C21:F21)</f>
        <v/>
      </c>
      <c r="W43" s="44" t="str">
        <f>T('2. B5 data'!C21:F21)</f>
        <v/>
      </c>
      <c r="AA43" s="44" t="str">
        <f>T('2. B6 data'!C21:F21)</f>
        <v/>
      </c>
      <c r="AE43" s="44" t="str">
        <f>T('2. B7 data'!C21:F21)</f>
        <v/>
      </c>
    </row>
    <row r="44" spans="1:37" ht="18" hidden="1" customHeight="1" x14ac:dyDescent="0.2">
      <c r="A44" s="44">
        <f>IF(OR(E44&lt;&gt;"NOT",I44&lt;&gt;"NOT",M44&lt;&gt;"NOT",Q44&lt;&gt;"NOT",U44&lt;&gt;"NOT",Y44&lt;&gt;"NOT",AC44&lt;&gt;"NOT",AG44&lt;&gt;"NOT"),A17,0)</f>
        <v>0</v>
      </c>
      <c r="C44" s="44" t="str">
        <f>IF(AND(OR(NOT(C17&gt;=0),ISBLANK(C17)),C27&gt;0),C17,"NOT")</f>
        <v>NOT</v>
      </c>
      <c r="E44" s="44" t="str">
        <f>IF(AND(OR(NOT(C17&gt;=0),ISBLANK(C17)),C27&gt;0),E17,"NOT")</f>
        <v>NOT</v>
      </c>
      <c r="G44" s="44" t="str">
        <f>IF(AND(OR(NOT(G17&gt;=0),ISBLANK(G17)),G27&gt;0),G17,"NOT")</f>
        <v>NOT</v>
      </c>
      <c r="I44" s="44" t="str">
        <f>IF(AND(OR(NOT(G17&gt;=0),ISBLANK(G17)),G27&gt;0),I17,"NOT")</f>
        <v>NOT</v>
      </c>
      <c r="K44" s="44" t="str">
        <f>IF(AND(OR(NOT(K17&gt;=0),ISBLANK(K17)),K27&gt;0),K17,"NOT")</f>
        <v>NOT</v>
      </c>
      <c r="M44" s="44" t="str">
        <f>IF(AND(OR(NOT(K17&gt;=0),ISBLANK(K17)),K27&gt;0),M17,"NOT")</f>
        <v>NOT</v>
      </c>
      <c r="O44" s="44" t="str">
        <f>IF(AND(OR(NOT(O17&gt;=0),ISBLANK(O17)),O27&gt;0),O17,"NOT")</f>
        <v>NOT</v>
      </c>
      <c r="Q44" s="44" t="str">
        <f>IF(AND(OR(NOT(O17&gt;=0),ISBLANK(O17)),O27&gt;0),Q17,"NOT")</f>
        <v>NOT</v>
      </c>
      <c r="S44" s="44" t="str">
        <f>IF(AND(OR(NOT(S17&gt;=0),ISBLANK(S17)),S27&gt;0),S17,"NOT")</f>
        <v>NOT</v>
      </c>
      <c r="U44" s="44" t="str">
        <f>IF(AND(OR(NOT(S17&gt;=0),ISBLANK(S17)),S27&gt;0),U17,"NOT")</f>
        <v>NOT</v>
      </c>
      <c r="W44" s="44" t="str">
        <f>IF(AND(OR(NOT(W17&gt;=0),ISBLANK(W17)),W27&gt;0),W17,"NOT")</f>
        <v>NOT</v>
      </c>
      <c r="Y44" s="44" t="str">
        <f>IF(AND(OR(NOT(W17&gt;=0),ISBLANK(W17)),W27&gt;0),Y17,"NOT")</f>
        <v>NOT</v>
      </c>
      <c r="AA44" s="44" t="str">
        <f>IF(AND(OR(NOT(AA17&gt;=0),ISBLANK(AA17)),AA27&gt;0),AA17,"NOT")</f>
        <v>NOT</v>
      </c>
      <c r="AC44" s="44" t="str">
        <f>IF(AND(OR(NOT(AA17&gt;=0),ISBLANK(AA17)),AA27&gt;0),AC17,"NOT")</f>
        <v>NOT</v>
      </c>
      <c r="AE44" s="44" t="str">
        <f>IF(AND(OR(NOT(AE17&gt;=0),ISBLANK(AE17)),AE27&gt;0),AE17,"NOT")</f>
        <v>NOT</v>
      </c>
      <c r="AG44" s="44" t="str">
        <f>IF(AND(OR(NOT(AE17&gt;=0),ISBLANK(AE17)),AE27&gt;0),AG17,"NOT")</f>
        <v>NOT</v>
      </c>
    </row>
    <row r="45" spans="1:37" hidden="1" x14ac:dyDescent="0.2"/>
    <row r="46" spans="1:37" ht="25.5" hidden="1" x14ac:dyDescent="0.2">
      <c r="A46" s="44" t="str">
        <f>T('2. LB data'!J2)</f>
        <v>Budgetary organisation of the central state budget</v>
      </c>
      <c r="C46" s="44" t="b">
        <f>ISBLANK(C17)</f>
        <v>0</v>
      </c>
    </row>
    <row r="47" spans="1:37" hidden="1" x14ac:dyDescent="0.2">
      <c r="C47" s="81"/>
    </row>
    <row r="48" spans="1:37" ht="38.25" hidden="1" x14ac:dyDescent="0.2">
      <c r="A48" s="44" t="s">
        <v>641</v>
      </c>
      <c r="C48" s="44">
        <f>CEILING(IF(C42=1,C51-C49,C52-C49),0.01)</f>
        <v>0</v>
      </c>
      <c r="G48" s="44">
        <f>CEILING(IF(G42=1,G51-G49,G52-G49),0.01)</f>
        <v>0</v>
      </c>
      <c r="K48" s="44">
        <f>CEILING(IF(K42=1,K51-K49,K52-K49),0.01)</f>
        <v>0</v>
      </c>
      <c r="O48" s="44">
        <f>CEILING(IF(O42=1,O51-O49,O52-O49),0.01)</f>
        <v>0</v>
      </c>
      <c r="S48" s="44">
        <f>CEILING(IF(S42=1,S51-S49,S52-S49),0.01)</f>
        <v>0</v>
      </c>
      <c r="W48" s="44">
        <f>CEILING(IF(W42=1,W51-W49,W52-W49),0.01)</f>
        <v>0</v>
      </c>
      <c r="AA48" s="44">
        <f>CEILING(IF(AA42=1,AA51-AA49,AA52-AA49),0.01)</f>
        <v>0</v>
      </c>
      <c r="AE48" s="44">
        <f>CEILING(IF(AE42=1,AE51-AE49,AE52-AE49),0.01)</f>
        <v>0</v>
      </c>
    </row>
    <row r="49" spans="1:33" ht="25.5" hidden="1" x14ac:dyDescent="0.2">
      <c r="A49" s="44" t="s">
        <v>640</v>
      </c>
      <c r="C49" s="485">
        <f>CEILING(IF(C42=2,0,IF(AND(C42=1,C51&gt;0),C51,0)),0.01)</f>
        <v>41457.75</v>
      </c>
      <c r="G49" s="485">
        <f>CEILING(IF(G42=2,0,IF(AND(G42=1,G51&gt;0),G51,0)),0.01)</f>
        <v>0</v>
      </c>
      <c r="K49" s="485">
        <f>CEILING(IF(K42=2,0,IF(AND(K42=1,K51&gt;0),K51,0)),0.01)</f>
        <v>0</v>
      </c>
      <c r="O49" s="485">
        <f>CEILING(IF(O42=2,0,IF(AND(O42=1,O51&gt;0),O51,0)),0.01)</f>
        <v>0</v>
      </c>
      <c r="S49" s="485">
        <f>CEILING(IF(S42=2,0,IF(AND(S42=1,S51&gt;0),S51,0)),0.01)</f>
        <v>0</v>
      </c>
      <c r="W49" s="485">
        <f>CEILING(IF(W42=2,0,IF(AND(W42=1,W51&gt;0),W51,0)),0.01)</f>
        <v>0</v>
      </c>
      <c r="AA49" s="485">
        <f>CEILING(IF(AA42=2,0,IF(AND(AA42=1,AA51&gt;0),AA51,0)),0.01)</f>
        <v>0</v>
      </c>
      <c r="AE49" s="485">
        <f>CEILING(IF(AE42=2,0,IF(AND(AE42=1,AE51&gt;0),AE51,0)),0.01)</f>
        <v>0</v>
      </c>
    </row>
    <row r="50" spans="1:33" hidden="1" x14ac:dyDescent="0.2"/>
    <row r="51" spans="1:33" hidden="1" x14ac:dyDescent="0.2">
      <c r="A51" s="44" t="s">
        <v>380</v>
      </c>
      <c r="C51" s="464">
        <f>IF(AND(C42=1),IF(C43=$A$46,(C27*0.15-C17),(C27*0.1-C17)),0)</f>
        <v>41457.75</v>
      </c>
      <c r="G51" s="464">
        <f>IF(AND(G42=1,(G27-G17)&gt;0),IF(G43=$A$46,(G27*0.15-G17),(G27*0.1-G17)),0)</f>
        <v>0</v>
      </c>
      <c r="K51" s="464">
        <f>IF(AND(K42=1,(K27-K17)&gt;0),IF(K43=$A$46,(K27*0.15-K17),(K27*0.1-K17)),0)</f>
        <v>0</v>
      </c>
      <c r="O51" s="464">
        <f>IF(AND(O42=1,(O27-O17)&gt;0),IF(O43=$A$46,(O27*0.15-O17),(O27*0.1-O17)),0)</f>
        <v>0</v>
      </c>
      <c r="S51" s="464">
        <f>IF(AND(S42=1,(S27-S17)&gt;0),IF(S43=$A$46,(S27*0.15-S17),(S27*0.1-S17)),0)</f>
        <v>0</v>
      </c>
      <c r="W51" s="464">
        <f>IF(AND(W42=1,(W27-W17)&gt;0),IF(W43=$A$46,(W27*0.15-W17),(W27*0.1-W17)),0)</f>
        <v>0</v>
      </c>
      <c r="AA51" s="464">
        <f>IF(AND(AA42=1,(AA27-AA17)&gt;0),IF(AA43=$A$46,(AA27*0.15-AA17),(AA27*0.1-AA17)),0)</f>
        <v>0</v>
      </c>
      <c r="AE51" s="464">
        <f>IF(AND(AE42=1,(AE27-AE17)&gt;0),IF(AE43=$A$46,(AE27*0.15-AE17),(AE27*0.1-AE17)),0)</f>
        <v>0</v>
      </c>
    </row>
    <row r="52" spans="1:33" hidden="1" x14ac:dyDescent="0.2">
      <c r="A52" s="44" t="s">
        <v>381</v>
      </c>
      <c r="C52" s="484">
        <f>-C17</f>
        <v>0</v>
      </c>
      <c r="G52" s="484">
        <f>-G17</f>
        <v>0</v>
      </c>
      <c r="K52" s="484">
        <f>-K17</f>
        <v>0</v>
      </c>
      <c r="O52" s="484">
        <f>-O17</f>
        <v>0</v>
      </c>
      <c r="S52" s="484">
        <f>-S17</f>
        <v>0</v>
      </c>
      <c r="W52" s="484">
        <f>-W17</f>
        <v>0</v>
      </c>
      <c r="AA52" s="484">
        <f>-AA17</f>
        <v>0</v>
      </c>
      <c r="AE52" s="484">
        <f>-AE17</f>
        <v>0</v>
      </c>
    </row>
    <row r="53" spans="1:33" hidden="1" x14ac:dyDescent="0.2">
      <c r="A53" s="44" t="s">
        <v>312</v>
      </c>
      <c r="C53" s="464">
        <f>IF(AND(C42=1,C27-(C27*0.05+C17)&gt;0),IF(C43=$A$46,C17,(C27*0.05+C17)),0)</f>
        <v>20728.875</v>
      </c>
      <c r="G53" s="464">
        <f>IF(AND(G42=1,G27-(G27*0.05+G17)&gt;0),IF(G43=$A$46,G17,(G27*0.05+G17)),0)</f>
        <v>0</v>
      </c>
      <c r="K53" s="464">
        <f>IF(AND(K42=1,K27-(K27*0.05+K17)&gt;0),IF(K43=$A$46,K17,(K27*0.05+K17)),0)</f>
        <v>0</v>
      </c>
      <c r="O53" s="464">
        <f>IF(AND(O42=1,O27-(O27*0.05+O17)&gt;0),IF(O43=$A$46,O17,(O27*0.05+O17)),0)</f>
        <v>0</v>
      </c>
      <c r="S53" s="464">
        <f>IF(AND(S42=1,S27-(S27*0.05+S17)&gt;0),IF(S43=$A$46,S17,(S27*0.05+S17)),0)</f>
        <v>0</v>
      </c>
      <c r="W53" s="464">
        <f>IF(AND(W42=1,W27-(W27*0.05+W17)&gt;0),IF(W43=$A$46,W17,(W27*0.05+W17)),0)</f>
        <v>0</v>
      </c>
      <c r="AA53" s="464">
        <f>IF(AND(AA42=1,AA27-(AA27*0.05+AA17)&gt;0),IF(AA43=$A$46,AA17,(AA27*0.05+AA17)),0)</f>
        <v>0</v>
      </c>
      <c r="AE53" s="464">
        <f>IF(AND(AE42=1,AE27-(AE27*0.05+AE17)&gt;0),IF(AE43=$A$46,AE17,(AE27*0.05+AE17)),0)</f>
        <v>0</v>
      </c>
    </row>
    <row r="54" spans="1:33" hidden="1" x14ac:dyDescent="0.2">
      <c r="A54" s="44" t="s">
        <v>311</v>
      </c>
      <c r="C54" s="464">
        <f>IF(AND(C42=2,(C27-C17)&gt;0),0.15*(C27)+C17,0)</f>
        <v>0</v>
      </c>
      <c r="G54" s="464">
        <f>IF(AND(G42=2,(G27-G17)&gt;0),0.15*(G27)+G17,0)</f>
        <v>41888.25</v>
      </c>
      <c r="K54" s="464">
        <f>IF(AND(K42=2,(K27-K17)&gt;0),0.15*(K27)+K17,0)</f>
        <v>21839.774999999998</v>
      </c>
      <c r="O54" s="464">
        <f>IF(AND(O42=2,(O27-O17)&gt;0),0.15*(O27)+O17,0)</f>
        <v>26958.674999999999</v>
      </c>
      <c r="S54" s="464">
        <f>IF(AND(S42=2,(S27-S17)&gt;0),0.15*(S27)+S17,0)</f>
        <v>0</v>
      </c>
      <c r="W54" s="464">
        <f>IF(AND(W42=2,(W27-W17)&gt;0),0.15*(W27)+W17,0)</f>
        <v>0</v>
      </c>
      <c r="AA54" s="464">
        <f>IF(AND(AA42=2,(AA27-AA17)&gt;0),0.15*(AA27)+AA17,0)</f>
        <v>0</v>
      </c>
      <c r="AE54" s="464">
        <f>IF(AND(AE42=2,(AE27-AE17)&gt;0),0.15*(AE27)+AE17,0)</f>
        <v>0</v>
      </c>
    </row>
    <row r="55" spans="1:33" hidden="1" x14ac:dyDescent="0.2"/>
    <row r="56" spans="1:33" hidden="1" x14ac:dyDescent="0.2">
      <c r="A56" s="44" t="s">
        <v>561</v>
      </c>
    </row>
    <row r="57" spans="1:33" ht="12" hidden="1" customHeight="1" x14ac:dyDescent="0.2">
      <c r="C57" s="463" t="s">
        <v>562</v>
      </c>
    </row>
    <row r="58" spans="1:33" hidden="1" x14ac:dyDescent="0.2">
      <c r="A58" s="465">
        <f>IF((LEN(E58)+LEN(I58)+LEN(M58)+LEN(Q58)+LEN(U58)+LEN(Y58)+LEN(AC58)+LEN(AG58))&gt;8,A15,0)</f>
        <v>0</v>
      </c>
      <c r="E58" s="44">
        <f>IF(AND(LEN(C9)&gt;1,ISBLANK(C15)),E15,0)</f>
        <v>0</v>
      </c>
      <c r="I58" s="44">
        <f>IF(AND(LEN(G9)&gt;1,ISBLANK(G15)),I15,0)</f>
        <v>0</v>
      </c>
      <c r="M58" s="44">
        <f>IF(AND(LEN(K9)&gt;1,ISBLANK(K15)),M15,0)</f>
        <v>0</v>
      </c>
      <c r="Q58" s="44">
        <f>IF(AND(LEN(O9)&gt;1,ISBLANK(O15)),Q15,0)</f>
        <v>0</v>
      </c>
      <c r="U58" s="44">
        <f>IF(AND(LEN(S9)&gt;1,ISBLANK(S15)),U15,0)</f>
        <v>0</v>
      </c>
      <c r="Y58" s="44">
        <f>IF(AND(LEN(W9)&gt;1,ISBLANK(W15)),Y15,0)</f>
        <v>0</v>
      </c>
      <c r="AC58" s="44">
        <f>IF(AND(LEN(AA9)&gt;1,ISBLANK(AA15)),AC15,0)</f>
        <v>0</v>
      </c>
      <c r="AG58" s="44">
        <f>IF(AND(LEN(AE9)&gt;1,ISBLANK(AE15)),AG15,0)</f>
        <v>0</v>
      </c>
    </row>
  </sheetData>
  <sheetProtection password="F58B" sheet="1" objects="1" scenarios="1" formatCells="0" selectLockedCells="1"/>
  <mergeCells count="53">
    <mergeCell ref="S7:U7"/>
    <mergeCell ref="E3:AK3"/>
    <mergeCell ref="G34:I34"/>
    <mergeCell ref="K34:M34"/>
    <mergeCell ref="O34:Q34"/>
    <mergeCell ref="C5:G5"/>
    <mergeCell ref="I5:K5"/>
    <mergeCell ref="M5:U5"/>
    <mergeCell ref="O7:Q7"/>
    <mergeCell ref="AI13:AK13"/>
    <mergeCell ref="AI9:AK9"/>
    <mergeCell ref="AI11:AK11"/>
    <mergeCell ref="AI7:AK7"/>
    <mergeCell ref="W7:Y7"/>
    <mergeCell ref="AA7:AC7"/>
    <mergeCell ref="AE7:AG7"/>
    <mergeCell ref="W9:Y9"/>
    <mergeCell ref="AA9:AC9"/>
    <mergeCell ref="AE9:AG9"/>
    <mergeCell ref="W11:Y11"/>
    <mergeCell ref="AE11:AG11"/>
    <mergeCell ref="AE34:AG34"/>
    <mergeCell ref="C34:E34"/>
    <mergeCell ref="G11:I11"/>
    <mergeCell ref="K13:M13"/>
    <mergeCell ref="W13:Y13"/>
    <mergeCell ref="AA13:AC13"/>
    <mergeCell ref="AE13:AG13"/>
    <mergeCell ref="S34:U34"/>
    <mergeCell ref="W34:Y34"/>
    <mergeCell ref="AA34:AC34"/>
    <mergeCell ref="S13:U13"/>
    <mergeCell ref="K7:M7"/>
    <mergeCell ref="C11:E11"/>
    <mergeCell ref="G9:I9"/>
    <mergeCell ref="K11:M11"/>
    <mergeCell ref="C13:E13"/>
    <mergeCell ref="A36:AI36"/>
    <mergeCell ref="A38:AI38"/>
    <mergeCell ref="A35:AI35"/>
    <mergeCell ref="A37:AI37"/>
    <mergeCell ref="A1:AK1"/>
    <mergeCell ref="O9:Q9"/>
    <mergeCell ref="O11:Q11"/>
    <mergeCell ref="O13:Q13"/>
    <mergeCell ref="S9:U9"/>
    <mergeCell ref="S11:U11"/>
    <mergeCell ref="C9:E9"/>
    <mergeCell ref="K9:M9"/>
    <mergeCell ref="G13:I13"/>
    <mergeCell ref="AA11:AC11"/>
    <mergeCell ref="C7:E7"/>
    <mergeCell ref="G7:I7"/>
  </mergeCells>
  <phoneticPr fontId="3" type="noConversion"/>
  <conditionalFormatting sqref="C34:E34 G34:I34 K34:M34 O34:Q34 S34:U34 W34:Y34 AA34:AC34 AE34:AG34">
    <cfRule type="cellIs" dxfId="127" priority="35" stopIfTrue="1" operator="notEqual">
      <formula>0</formula>
    </cfRule>
  </conditionalFormatting>
  <conditionalFormatting sqref="A39:AG39">
    <cfRule type="cellIs" dxfId="126" priority="38" stopIfTrue="1" operator="equal">
      <formula>#REF!</formula>
    </cfRule>
  </conditionalFormatting>
  <conditionalFormatting sqref="E15">
    <cfRule type="cellIs" dxfId="125" priority="15" stopIfTrue="1" operator="equal">
      <formula>$E$58</formula>
    </cfRule>
  </conditionalFormatting>
  <conditionalFormatting sqref="I15">
    <cfRule type="cellIs" dxfId="124" priority="14" stopIfTrue="1" operator="equal">
      <formula>$I$58</formula>
    </cfRule>
  </conditionalFormatting>
  <conditionalFormatting sqref="M15">
    <cfRule type="cellIs" dxfId="123" priority="13" stopIfTrue="1" operator="equal">
      <formula>M$58</formula>
    </cfRule>
  </conditionalFormatting>
  <conditionalFormatting sqref="A15">
    <cfRule type="cellIs" dxfId="122" priority="7" stopIfTrue="1" operator="equal">
      <formula>$A$58</formula>
    </cfRule>
  </conditionalFormatting>
  <conditionalFormatting sqref="Q15">
    <cfRule type="cellIs" dxfId="121" priority="5" stopIfTrue="1" operator="equal">
      <formula>Q$58</formula>
    </cfRule>
  </conditionalFormatting>
  <conditionalFormatting sqref="U15">
    <cfRule type="cellIs" dxfId="120" priority="4" stopIfTrue="1" operator="equal">
      <formula>U$58</formula>
    </cfRule>
  </conditionalFormatting>
  <conditionalFormatting sqref="Y15">
    <cfRule type="cellIs" dxfId="119" priority="3" stopIfTrue="1" operator="equal">
      <formula>Y$58</formula>
    </cfRule>
  </conditionalFormatting>
  <conditionalFormatting sqref="AC15">
    <cfRule type="cellIs" dxfId="118" priority="2" stopIfTrue="1" operator="equal">
      <formula>AC$58</formula>
    </cfRule>
  </conditionalFormatting>
  <conditionalFormatting sqref="AG15">
    <cfRule type="cellIs" dxfId="117" priority="1" stopIfTrue="1" operator="equal">
      <formula>AG$58</formula>
    </cfRule>
  </conditionalFormatting>
  <dataValidations count="1">
    <dataValidation type="decimal" allowBlank="1" showInputMessage="1" showErrorMessage="1" sqref="C29 S33 O29 K33 G29 O33 G33 C33 AE15 K29 AE33 AA29 W33 S29 AA33 W29 AE17 C15 C17 G17 G15 K15 K17 O17 O15 S15 S17 W17 W15 AA15 AA17 AE29">
      <formula1>0</formula1>
      <formula2>99999999.99</formula2>
    </dataValidation>
  </dataValidations>
  <pageMargins left="0.15748031496062992" right="7.874015748031496E-2" top="0.70866141732283472" bottom="0.59055118110236227" header="0.43307086614173229" footer="0.51181102362204722"/>
  <pageSetup scale="82" fitToWidth="2" orientation="landscape" r:id="rId1"/>
  <headerFooter>
    <oddFooter xml:space="preserve">&amp;C&amp;"Arial,Italic"&amp;A&amp;R&amp;"Arial,Italic"Page &amp;P of &amp;N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5"/>
  <sheetViews>
    <sheetView workbookViewId="0">
      <selection activeCell="L17" sqref="L17"/>
    </sheetView>
  </sheetViews>
  <sheetFormatPr defaultColWidth="9.140625" defaultRowHeight="12.75" x14ac:dyDescent="0.2"/>
  <cols>
    <col min="1" max="1" width="3.28515625" style="80" customWidth="1"/>
    <col min="2" max="2" width="33" style="44" customWidth="1"/>
    <col min="3" max="3" width="0.85546875" style="44" customWidth="1"/>
    <col min="4" max="4" width="13.7109375" style="44" customWidth="1"/>
    <col min="5" max="5" width="0.85546875" style="44" customWidth="1"/>
    <col min="6" max="6" width="13.7109375" style="44" customWidth="1"/>
    <col min="7" max="7" width="0.85546875" style="44" customWidth="1"/>
    <col min="8" max="8" width="13.7109375" style="44" customWidth="1"/>
    <col min="9" max="9" width="0.85546875" style="44" customWidth="1"/>
    <col min="10" max="10" width="13.7109375" style="44" customWidth="1"/>
    <col min="11" max="11" width="0.85546875" style="44" customWidth="1"/>
    <col min="12" max="12" width="13.7109375" style="44" customWidth="1"/>
    <col min="13" max="13" width="0.85546875" style="44" customWidth="1"/>
    <col min="14" max="14" width="13.7109375" style="44" customWidth="1"/>
    <col min="15" max="15" width="0.85546875" style="44" customWidth="1"/>
    <col min="16" max="16" width="13.7109375" style="44" customWidth="1"/>
    <col min="17" max="17" width="0.42578125" style="44" customWidth="1"/>
    <col min="18" max="18" width="10.85546875" style="44" customWidth="1"/>
    <col min="19" max="32" width="9.140625" style="79" hidden="1" customWidth="1"/>
    <col min="33" max="16384" width="9.140625" style="79"/>
  </cols>
  <sheetData>
    <row r="1" spans="1:32" ht="22.5" customHeight="1" x14ac:dyDescent="0.2">
      <c r="A1" s="738" t="s">
        <v>330</v>
      </c>
      <c r="B1" s="738"/>
      <c r="C1" s="738"/>
      <c r="D1" s="738"/>
      <c r="E1" s="738"/>
      <c r="F1" s="738"/>
      <c r="G1" s="738"/>
      <c r="H1" s="738"/>
      <c r="I1" s="738"/>
      <c r="J1" s="738"/>
      <c r="K1" s="738"/>
      <c r="L1" s="738"/>
      <c r="M1" s="738"/>
      <c r="N1" s="738"/>
      <c r="O1" s="738"/>
      <c r="P1" s="738"/>
      <c r="Q1" s="100"/>
      <c r="R1" s="100"/>
    </row>
    <row r="3" spans="1:32" x14ac:dyDescent="0.2">
      <c r="B3" s="201" t="str">
        <f>'1. General Data'!R12</f>
        <v>HUHR/1601/</v>
      </c>
      <c r="D3" s="203" t="s">
        <v>321</v>
      </c>
      <c r="F3" s="718" t="str">
        <f>T('1. General Data'!E25:O25)</f>
        <v>2.1.1. Bicycle paths</v>
      </c>
      <c r="G3" s="815"/>
      <c r="H3" s="815"/>
      <c r="I3" s="815"/>
      <c r="J3" s="815"/>
      <c r="K3" s="815"/>
      <c r="L3" s="815"/>
      <c r="M3" s="815"/>
      <c r="N3" s="815"/>
      <c r="O3" s="815"/>
      <c r="P3" s="816"/>
      <c r="Q3" s="213"/>
      <c r="R3" s="213"/>
      <c r="S3" s="213"/>
      <c r="T3" s="213"/>
      <c r="U3" s="213"/>
      <c r="V3" s="213"/>
      <c r="W3" s="213"/>
    </row>
    <row r="4" spans="1:32" ht="6" customHeight="1" x14ac:dyDescent="0.2">
      <c r="S4" s="44"/>
      <c r="T4" s="44"/>
      <c r="U4" s="44"/>
      <c r="V4" s="44"/>
      <c r="W4" s="44"/>
    </row>
    <row r="5" spans="1:32" x14ac:dyDescent="0.2">
      <c r="B5" s="203" t="s">
        <v>139</v>
      </c>
      <c r="D5" s="807" t="str">
        <f>T('1. General Data'!C14:M14)</f>
        <v>Happy Bike</v>
      </c>
      <c r="E5" s="734"/>
      <c r="F5" s="734"/>
      <c r="G5" s="734"/>
      <c r="H5" s="735"/>
      <c r="I5" s="854" t="s">
        <v>138</v>
      </c>
      <c r="J5" s="661"/>
      <c r="K5" s="661"/>
      <c r="L5" s="718" t="str">
        <f>T('2. LB data'!C9:F9)</f>
        <v>Letenye</v>
      </c>
      <c r="M5" s="815"/>
      <c r="N5" s="815"/>
      <c r="O5" s="815"/>
      <c r="P5" s="816"/>
      <c r="Q5" s="213"/>
      <c r="R5" s="213"/>
      <c r="S5" s="213"/>
      <c r="T5" s="213"/>
      <c r="U5" s="213"/>
      <c r="V5" s="213"/>
      <c r="W5" s="213"/>
    </row>
    <row r="6" spans="1:32" ht="20.25" customHeight="1" x14ac:dyDescent="0.2">
      <c r="B6" s="101"/>
      <c r="C6" s="101"/>
    </row>
    <row r="7" spans="1:32" ht="25.5" customHeight="1" x14ac:dyDescent="0.2">
      <c r="B7" s="858" t="s">
        <v>80</v>
      </c>
      <c r="C7" s="859"/>
      <c r="D7" s="859"/>
      <c r="E7" s="859"/>
      <c r="F7" s="859"/>
      <c r="G7" s="859"/>
      <c r="H7" s="859"/>
      <c r="I7" s="859"/>
      <c r="J7" s="859"/>
      <c r="K7" s="859"/>
      <c r="L7" s="859"/>
      <c r="M7" s="859"/>
      <c r="N7" s="859"/>
      <c r="S7" s="231" t="b">
        <f>IF(OR('1. General Data'!E35="",'1. General Data'!I35="",'1. General Data'!M35="",'1. General Data'!E37="",'1. General Data'!I37="",'1. General Data'!M37="")," ",TRUE)</f>
        <v>1</v>
      </c>
    </row>
    <row r="8" spans="1:32" x14ac:dyDescent="0.2">
      <c r="B8" s="101"/>
      <c r="C8" s="101"/>
      <c r="S8" s="79" t="s">
        <v>6</v>
      </c>
      <c r="T8" s="79" t="s">
        <v>7</v>
      </c>
    </row>
    <row r="9" spans="1:32" ht="12.75" customHeight="1" x14ac:dyDescent="0.2">
      <c r="A9" s="811" t="s">
        <v>345</v>
      </c>
      <c r="B9" s="855"/>
      <c r="D9" s="808" t="s">
        <v>173</v>
      </c>
      <c r="E9" s="850"/>
      <c r="F9" s="850"/>
      <c r="G9" s="850"/>
      <c r="H9" s="851"/>
      <c r="I9" s="128"/>
      <c r="J9" s="808" t="s">
        <v>174</v>
      </c>
      <c r="K9" s="850"/>
      <c r="L9" s="850"/>
      <c r="M9" s="850"/>
      <c r="N9" s="851"/>
      <c r="O9" s="128"/>
      <c r="P9" s="852" t="s">
        <v>185</v>
      </c>
      <c r="S9" s="304">
        <f>DATE('1. General Data'!M35,'1. General Data'!I35,'1. General Data'!E35)</f>
        <v>43040</v>
      </c>
      <c r="T9" s="304">
        <f>DATE('1. General Data'!M37,'1. General Data'!I37,'1. General Data'!E37)</f>
        <v>43646</v>
      </c>
      <c r="U9" s="232"/>
      <c r="V9" s="232">
        <v>1</v>
      </c>
      <c r="W9" s="232"/>
      <c r="X9" s="232">
        <v>2</v>
      </c>
      <c r="Y9" s="232"/>
      <c r="Z9" s="232">
        <v>3</v>
      </c>
      <c r="AA9" s="232"/>
      <c r="AB9" s="232">
        <v>4</v>
      </c>
      <c r="AC9" s="232"/>
      <c r="AD9" s="232">
        <v>5</v>
      </c>
      <c r="AE9" s="232"/>
      <c r="AF9" s="232">
        <v>6</v>
      </c>
    </row>
    <row r="10" spans="1:32" ht="28.5" customHeight="1" x14ac:dyDescent="0.2">
      <c r="A10" s="856"/>
      <c r="B10" s="857"/>
      <c r="C10" s="129"/>
      <c r="D10" s="86" t="s">
        <v>9</v>
      </c>
      <c r="E10" s="130"/>
      <c r="F10" s="86" t="s">
        <v>10</v>
      </c>
      <c r="G10" s="120"/>
      <c r="H10" s="86" t="s">
        <v>11</v>
      </c>
      <c r="I10" s="120"/>
      <c r="J10" s="86" t="s">
        <v>12</v>
      </c>
      <c r="K10" s="120"/>
      <c r="L10" s="86" t="s">
        <v>13</v>
      </c>
      <c r="M10" s="120"/>
      <c r="N10" s="86" t="s">
        <v>14</v>
      </c>
      <c r="O10" s="120"/>
      <c r="P10" s="853"/>
      <c r="Q10" s="226"/>
      <c r="R10" s="226" t="s">
        <v>35</v>
      </c>
      <c r="S10" s="231">
        <f>'1. General Data'!I39</f>
        <v>20</v>
      </c>
      <c r="T10" s="241">
        <f>IF(S10&gt;0,(S10/4+1),0)</f>
        <v>6</v>
      </c>
      <c r="U10" s="232"/>
      <c r="V10" s="233" t="s">
        <v>9</v>
      </c>
      <c r="W10" s="234"/>
      <c r="X10" s="233" t="s">
        <v>10</v>
      </c>
      <c r="Y10" s="235"/>
      <c r="Z10" s="233" t="s">
        <v>11</v>
      </c>
      <c r="AA10" s="235"/>
      <c r="AB10" s="233" t="s">
        <v>12</v>
      </c>
      <c r="AC10" s="235"/>
      <c r="AD10" s="233" t="s">
        <v>13</v>
      </c>
      <c r="AE10" s="235"/>
      <c r="AF10" s="233" t="s">
        <v>14</v>
      </c>
    </row>
    <row r="11" spans="1:32" ht="12.75" customHeight="1" x14ac:dyDescent="0.2">
      <c r="A11" s="866" t="s">
        <v>560</v>
      </c>
      <c r="B11" s="867"/>
      <c r="C11" s="305"/>
      <c r="D11" s="329">
        <f>IF(S7=TRUE,(IF(S$9+122&gt;$T$9,$T$9+90,S$9+122+90)),"Not relevant")</f>
        <v>43252</v>
      </c>
      <c r="E11" s="307"/>
      <c r="F11" s="329">
        <f>IF("Not relevant"=D$11,"Not relevant",IF($T$9+90=D$11,"Not relevant",IF(D$11+122-D1190&gt;$T$9,$T$9+90,D$11+122)))</f>
        <v>43374</v>
      </c>
      <c r="G11" s="213"/>
      <c r="H11" s="329">
        <f>IF(S10&lt;=8,"Not relevant",IF(S10&lt;=12,$T$9+90,S9+122+121+121+90))</f>
        <v>43494</v>
      </c>
      <c r="I11" s="307"/>
      <c r="J11" s="329">
        <f>IF(S10&lt;=12,"Not relevant",IF(S10&lt;=16,$T$9+90,S9+122+121+121+121+90))</f>
        <v>43615</v>
      </c>
      <c r="K11" s="307"/>
      <c r="L11" s="329">
        <f>IF(S10&lt;=16,"Not relevant",IF(S10&lt;=20,$T$9+90,S9+122+121+121+121+120+90))</f>
        <v>43736</v>
      </c>
      <c r="M11" s="307"/>
      <c r="N11" s="329" t="str">
        <f>IF(S10&lt;=20,"Not relevant",$T$9+90)</f>
        <v>Not relevant</v>
      </c>
      <c r="O11" s="114"/>
      <c r="P11" s="308"/>
      <c r="Q11" s="226"/>
      <c r="R11" s="226"/>
      <c r="S11" s="231"/>
      <c r="T11" s="241"/>
      <c r="U11" s="232"/>
      <c r="V11" s="306"/>
      <c r="W11" s="305"/>
      <c r="X11" s="306"/>
      <c r="Y11" s="305"/>
      <c r="Z11" s="306"/>
      <c r="AA11" s="305"/>
      <c r="AB11" s="306"/>
      <c r="AC11" s="305"/>
      <c r="AD11" s="306"/>
      <c r="AE11" s="305"/>
      <c r="AF11" s="306"/>
    </row>
    <row r="12" spans="1:32" ht="3" customHeight="1" x14ac:dyDescent="0.2">
      <c r="A12" s="131"/>
      <c r="B12" s="104"/>
      <c r="C12" s="104"/>
      <c r="U12" s="232"/>
      <c r="V12" s="236"/>
      <c r="W12" s="236"/>
      <c r="X12" s="236"/>
      <c r="Y12" s="236"/>
      <c r="Z12" s="236"/>
      <c r="AA12" s="236"/>
      <c r="AB12" s="236"/>
      <c r="AC12" s="236"/>
      <c r="AD12" s="236"/>
      <c r="AE12" s="236"/>
      <c r="AF12" s="236"/>
    </row>
    <row r="13" spans="1:32" x14ac:dyDescent="0.2">
      <c r="A13" s="132">
        <v>1</v>
      </c>
      <c r="B13" s="86" t="str">
        <f>IF(U13&lt;&gt;"",U13,"Lead Beneficiary")</f>
        <v>Letenye</v>
      </c>
      <c r="C13" s="104"/>
      <c r="D13" s="541">
        <v>13090</v>
      </c>
      <c r="F13" s="541">
        <v>16827</v>
      </c>
      <c r="H13" s="541">
        <v>276235</v>
      </c>
      <c r="J13" s="541">
        <v>76085.5</v>
      </c>
      <c r="L13" s="541">
        <v>32340</v>
      </c>
      <c r="N13" s="99"/>
      <c r="P13" s="98">
        <f>D13+F13+H13+J13+L13+N13</f>
        <v>414577.5</v>
      </c>
      <c r="Q13" s="207"/>
      <c r="R13" s="207">
        <f>('8 LB budget'!L8)-P13</f>
        <v>0</v>
      </c>
      <c r="S13" s="79">
        <f>IF(R13=0,0,B13)</f>
        <v>0</v>
      </c>
      <c r="T13" s="151"/>
      <c r="U13" s="232" t="str">
        <f>T('2. LB data'!C9:F9)</f>
        <v>Letenye</v>
      </c>
      <c r="V13" s="237">
        <f>IF($T$10&gt;V$9,D13,V$10)</f>
        <v>13090</v>
      </c>
      <c r="W13" s="236"/>
      <c r="X13" s="237">
        <f>IF($T$10&gt;X$9,F13,X$10)</f>
        <v>16827</v>
      </c>
      <c r="Y13" s="236"/>
      <c r="Z13" s="237">
        <f>IF($T$10&gt;Z$9,H13,Z$10)</f>
        <v>276235</v>
      </c>
      <c r="AA13" s="236"/>
      <c r="AB13" s="237">
        <f>IF($T$10&gt;AB$9,J13,AB$10)</f>
        <v>76085.5</v>
      </c>
      <c r="AC13" s="236"/>
      <c r="AD13" s="237">
        <f>IF($T$10&gt;AD$9,L13,AD$10)</f>
        <v>32340</v>
      </c>
      <c r="AE13" s="236"/>
      <c r="AF13" s="237" t="str">
        <f>IF($T$10&gt;AF$9,N13,AF$10)</f>
        <v>6. reporting period</v>
      </c>
    </row>
    <row r="14" spans="1:32" ht="3" customHeight="1" x14ac:dyDescent="0.2">
      <c r="A14" s="133"/>
      <c r="B14" s="104"/>
      <c r="C14" s="104"/>
      <c r="Q14" s="211"/>
      <c r="R14" s="211"/>
      <c r="U14" s="232"/>
      <c r="V14" s="236"/>
      <c r="W14" s="236"/>
      <c r="X14" s="236"/>
      <c r="Y14" s="236"/>
      <c r="Z14" s="236"/>
      <c r="AA14" s="236"/>
      <c r="AB14" s="236"/>
      <c r="AC14" s="236"/>
      <c r="AD14" s="236"/>
      <c r="AE14" s="236"/>
      <c r="AF14" s="236"/>
    </row>
    <row r="15" spans="1:32" x14ac:dyDescent="0.2">
      <c r="A15" s="133">
        <v>2</v>
      </c>
      <c r="B15" s="86" t="str">
        <f>IF(U15&lt;&gt;"",U15,"Beneficiary (1)")</f>
        <v>GP</v>
      </c>
      <c r="C15" s="104"/>
      <c r="D15" s="541">
        <v>7555</v>
      </c>
      <c r="F15" s="551">
        <v>15086</v>
      </c>
      <c r="H15" s="551">
        <v>110309</v>
      </c>
      <c r="J15" s="551">
        <v>111246</v>
      </c>
      <c r="L15" s="551">
        <v>35059</v>
      </c>
      <c r="N15" s="99"/>
      <c r="P15" s="98">
        <f>D15+F15+H15+J15+L15+N15</f>
        <v>279255</v>
      </c>
      <c r="Q15" s="207"/>
      <c r="R15" s="207">
        <f>('8. B1 budget'!L8)-P15</f>
        <v>0</v>
      </c>
      <c r="S15" s="79">
        <f>IF(R15=0,0,B15)</f>
        <v>0</v>
      </c>
      <c r="U15" s="232" t="str">
        <f>T('2. B1 data'!C9:F9)</f>
        <v>GP</v>
      </c>
      <c r="V15" s="237">
        <f>IF($T$10&gt;V$9,D15,V$10)</f>
        <v>7555</v>
      </c>
      <c r="W15" s="236"/>
      <c r="X15" s="237">
        <f>IF($T$10&gt;X$9,F15,X$10)</f>
        <v>15086</v>
      </c>
      <c r="Y15" s="236"/>
      <c r="Z15" s="237">
        <f>IF($T$10&gt;Z$9,H15,Z$10)</f>
        <v>110309</v>
      </c>
      <c r="AA15" s="236"/>
      <c r="AB15" s="237">
        <f>IF($T$10&gt;AB$9,J15,AB$10)</f>
        <v>111246</v>
      </c>
      <c r="AC15" s="236"/>
      <c r="AD15" s="237">
        <f>IF($T$10&gt;AD$9,L15,AD$10)</f>
        <v>35059</v>
      </c>
      <c r="AE15" s="236"/>
      <c r="AF15" s="237" t="str">
        <f>IF($T$10&gt;AF$9,N15,AF$10)</f>
        <v>6. reporting period</v>
      </c>
    </row>
    <row r="16" spans="1:32" ht="3" customHeight="1" x14ac:dyDescent="0.2">
      <c r="A16" s="133"/>
      <c r="B16" s="121"/>
      <c r="C16" s="104"/>
      <c r="Q16" s="211"/>
      <c r="R16" s="211"/>
      <c r="U16" s="232"/>
      <c r="V16" s="236"/>
      <c r="W16" s="236"/>
      <c r="X16" s="236"/>
      <c r="Y16" s="236"/>
      <c r="Z16" s="236"/>
      <c r="AA16" s="236"/>
      <c r="AB16" s="236"/>
      <c r="AC16" s="236"/>
      <c r="AD16" s="236"/>
      <c r="AE16" s="236"/>
      <c r="AF16" s="236"/>
    </row>
    <row r="17" spans="1:32" ht="12.75" customHeight="1" x14ac:dyDescent="0.2">
      <c r="A17" s="133">
        <v>3</v>
      </c>
      <c r="B17" s="86" t="str">
        <f>IF(U17&lt;&gt;"",U17,"Beneficiary (2)")</f>
        <v>Grad Ludbreg</v>
      </c>
      <c r="C17" s="104"/>
      <c r="D17" s="558">
        <v>3802.11</v>
      </c>
      <c r="F17" s="558">
        <v>24040.45</v>
      </c>
      <c r="H17" s="558">
        <v>13816.94</v>
      </c>
      <c r="J17" s="558">
        <v>44082</v>
      </c>
      <c r="L17" s="558">
        <v>59857</v>
      </c>
      <c r="N17" s="99"/>
      <c r="P17" s="98">
        <f>D17+F17+H17+J17+L17+N17</f>
        <v>145598.5</v>
      </c>
      <c r="Q17" s="207"/>
      <c r="R17" s="207">
        <f>('8. B2 budget'!L8)-P17</f>
        <v>0</v>
      </c>
      <c r="S17" s="79">
        <f>IF(R17=0,0,B17)</f>
        <v>0</v>
      </c>
      <c r="U17" s="232" t="str">
        <f>T('2. B2 data'!C9:F9)</f>
        <v>Grad Ludbreg</v>
      </c>
      <c r="V17" s="237">
        <f>IF($T$10&gt;V$9,D17,V$10)</f>
        <v>3802.11</v>
      </c>
      <c r="W17" s="236"/>
      <c r="X17" s="237">
        <f>IF($T$10&gt;X$9,F17,X$10)</f>
        <v>24040.45</v>
      </c>
      <c r="Y17" s="236"/>
      <c r="Z17" s="237">
        <f>IF($T$10&gt;Z$9,H17,Z$10)</f>
        <v>13816.94</v>
      </c>
      <c r="AA17" s="236"/>
      <c r="AB17" s="237">
        <f>IF($T$10&gt;AB$9,J17,AB$10)</f>
        <v>44082</v>
      </c>
      <c r="AC17" s="236"/>
      <c r="AD17" s="237">
        <f>IF($T$10&gt;AD$9,L17,AD$10)</f>
        <v>59857</v>
      </c>
      <c r="AE17" s="236"/>
      <c r="AF17" s="237" t="str">
        <f>IF($T$10&gt;AF$9,N17,AF$10)</f>
        <v>6. reporting period</v>
      </c>
    </row>
    <row r="18" spans="1:32" ht="3" customHeight="1" x14ac:dyDescent="0.2">
      <c r="A18" s="133"/>
      <c r="B18" s="121"/>
      <c r="C18" s="104"/>
      <c r="Q18" s="211"/>
      <c r="R18" s="211"/>
      <c r="U18" s="232"/>
      <c r="V18" s="236"/>
      <c r="W18" s="236"/>
      <c r="X18" s="236"/>
      <c r="Y18" s="236"/>
      <c r="Z18" s="236"/>
      <c r="AA18" s="236"/>
      <c r="AB18" s="236"/>
      <c r="AC18" s="236"/>
      <c r="AD18" s="236"/>
      <c r="AE18" s="236"/>
      <c r="AF18" s="236"/>
    </row>
    <row r="19" spans="1:32" ht="12.75" customHeight="1" x14ac:dyDescent="0.2">
      <c r="A19" s="133">
        <v>4</v>
      </c>
      <c r="B19" s="86" t="str">
        <f>IF(U19&lt;&gt;"",U19,"Beneficiary (3)")</f>
        <v>ŽUC Varaždin</v>
      </c>
      <c r="C19" s="104"/>
      <c r="D19" s="541">
        <v>11000</v>
      </c>
      <c r="F19" s="541">
        <v>166413</v>
      </c>
      <c r="H19" s="541">
        <v>690</v>
      </c>
      <c r="J19" s="541">
        <v>810.75</v>
      </c>
      <c r="L19" s="541">
        <v>810.75</v>
      </c>
      <c r="N19" s="99"/>
      <c r="P19" s="98">
        <f>D19+F19+H19+J19+L19+N19</f>
        <v>179724.5</v>
      </c>
      <c r="Q19" s="207"/>
      <c r="R19" s="207">
        <f>('8. B3 budget'!L8)-P19</f>
        <v>0</v>
      </c>
      <c r="S19" s="79">
        <f>IF(R19=0,0,B19)</f>
        <v>0</v>
      </c>
      <c r="U19" s="232" t="str">
        <f>T('2. B3 data'!C9:F9)</f>
        <v>ŽUC Varaždin</v>
      </c>
      <c r="V19" s="237">
        <f>IF($T$10&gt;V$9,D19,V$10)</f>
        <v>11000</v>
      </c>
      <c r="W19" s="236"/>
      <c r="X19" s="237">
        <f>IF($T$10&gt;X$9,F19,X$10)</f>
        <v>166413</v>
      </c>
      <c r="Y19" s="236"/>
      <c r="Z19" s="237">
        <f>IF($T$10&gt;Z$9,H19,Z$10)</f>
        <v>690</v>
      </c>
      <c r="AA19" s="236"/>
      <c r="AB19" s="237">
        <f>IF($T$10&gt;AB$9,J19,AB$10)</f>
        <v>810.75</v>
      </c>
      <c r="AC19" s="236"/>
      <c r="AD19" s="237">
        <f>IF($T$10&gt;AD$9,L19,AD$10)</f>
        <v>810.75</v>
      </c>
      <c r="AE19" s="236"/>
      <c r="AF19" s="237" t="str">
        <f>IF($T$10&gt;AF$9,N19,AF$10)</f>
        <v>6. reporting period</v>
      </c>
    </row>
    <row r="20" spans="1:32" ht="3" customHeight="1" x14ac:dyDescent="0.2">
      <c r="A20" s="133"/>
      <c r="B20" s="121"/>
      <c r="C20" s="104"/>
      <c r="Q20" s="211"/>
      <c r="R20" s="211"/>
      <c r="U20" s="232"/>
      <c r="V20" s="236"/>
      <c r="W20" s="236"/>
      <c r="X20" s="236"/>
      <c r="Y20" s="236"/>
      <c r="Z20" s="236"/>
      <c r="AA20" s="236"/>
      <c r="AB20" s="236"/>
      <c r="AC20" s="236"/>
      <c r="AD20" s="236"/>
      <c r="AE20" s="236"/>
      <c r="AF20" s="236"/>
    </row>
    <row r="21" spans="1:32" ht="12.75" customHeight="1" x14ac:dyDescent="0.2">
      <c r="A21" s="133">
        <v>5</v>
      </c>
      <c r="B21" s="86" t="str">
        <f>IF(U21&lt;&gt;"",U21,"Beneficiary (4)")</f>
        <v>Beneficiary (4)</v>
      </c>
      <c r="C21" s="104"/>
      <c r="D21" s="99"/>
      <c r="F21" s="99"/>
      <c r="H21" s="99"/>
      <c r="J21" s="99"/>
      <c r="L21" s="99"/>
      <c r="N21" s="99"/>
      <c r="P21" s="98">
        <f>D21+F21+H21+J21+L21+N21</f>
        <v>0</v>
      </c>
      <c r="Q21" s="207"/>
      <c r="R21" s="207">
        <f>('8. B4 budget'!L8)-P21</f>
        <v>0</v>
      </c>
      <c r="S21" s="79">
        <f>IF(R21=0,0,B21)</f>
        <v>0</v>
      </c>
      <c r="U21" s="232" t="str">
        <f>T('2. B4 data'!C9:F9)</f>
        <v/>
      </c>
      <c r="V21" s="237">
        <f>IF($T$10&gt;V$9,D21,V$10)</f>
        <v>0</v>
      </c>
      <c r="W21" s="236"/>
      <c r="X21" s="237">
        <f>IF($T$10&gt;X$9,F21,X$10)</f>
        <v>0</v>
      </c>
      <c r="Y21" s="236"/>
      <c r="Z21" s="237">
        <f>IF($T$10&gt;Z$9,H21,Z$10)</f>
        <v>0</v>
      </c>
      <c r="AA21" s="236"/>
      <c r="AB21" s="237">
        <f>IF($T$10&gt;AB$9,J21,AB$10)</f>
        <v>0</v>
      </c>
      <c r="AC21" s="236"/>
      <c r="AD21" s="237">
        <f>IF($T$10&gt;AD$9,L21,AD$10)</f>
        <v>0</v>
      </c>
      <c r="AE21" s="236"/>
      <c r="AF21" s="237" t="str">
        <f>IF($T$10&gt;AF$9,N21,AF$10)</f>
        <v>6. reporting period</v>
      </c>
    </row>
    <row r="22" spans="1:32" ht="3" customHeight="1" x14ac:dyDescent="0.2">
      <c r="A22" s="133"/>
      <c r="B22" s="121"/>
      <c r="C22" s="104"/>
      <c r="Q22" s="211"/>
      <c r="R22" s="211"/>
      <c r="U22" s="232"/>
      <c r="V22" s="236"/>
      <c r="W22" s="236"/>
      <c r="X22" s="236"/>
      <c r="Y22" s="236"/>
      <c r="Z22" s="236"/>
      <c r="AA22" s="236"/>
      <c r="AB22" s="236"/>
      <c r="AC22" s="236"/>
      <c r="AD22" s="236"/>
      <c r="AE22" s="236"/>
      <c r="AF22" s="236"/>
    </row>
    <row r="23" spans="1:32" ht="12.75" customHeight="1" x14ac:dyDescent="0.2">
      <c r="A23" s="133">
        <v>6</v>
      </c>
      <c r="B23" s="86" t="str">
        <f>IF(U23&lt;&gt;"",U23,"Beneficiary (5)")</f>
        <v>Beneficiary (5)</v>
      </c>
      <c r="C23" s="104"/>
      <c r="D23" s="99"/>
      <c r="F23" s="99"/>
      <c r="H23" s="99"/>
      <c r="J23" s="99"/>
      <c r="L23" s="99"/>
      <c r="N23" s="99"/>
      <c r="P23" s="98">
        <f>D23+F23+H23+J23+L23+N23</f>
        <v>0</v>
      </c>
      <c r="Q23" s="207"/>
      <c r="R23" s="207">
        <f>('8. B5 budget'!L8)-P23</f>
        <v>0</v>
      </c>
      <c r="S23" s="79">
        <f>IF(R23=0,0,B23)</f>
        <v>0</v>
      </c>
      <c r="U23" s="232" t="str">
        <f>T('2. B5 data'!C9:F9)</f>
        <v/>
      </c>
      <c r="V23" s="237">
        <f>IF($T$10&gt;V$9,D23,V$10)</f>
        <v>0</v>
      </c>
      <c r="W23" s="236"/>
      <c r="X23" s="237">
        <f>IF($T$10&gt;X$9,F23,X$10)</f>
        <v>0</v>
      </c>
      <c r="Y23" s="236"/>
      <c r="Z23" s="237">
        <f>IF($T$10&gt;Z$9,H23,Z$10)</f>
        <v>0</v>
      </c>
      <c r="AA23" s="236"/>
      <c r="AB23" s="237">
        <f>IF($T$10&gt;AB$9,J23,AB$10)</f>
        <v>0</v>
      </c>
      <c r="AC23" s="236"/>
      <c r="AD23" s="237">
        <f>IF($T$10&gt;AD$9,L23,AD$10)</f>
        <v>0</v>
      </c>
      <c r="AE23" s="236"/>
      <c r="AF23" s="237" t="str">
        <f>IF($T$10&gt;AF$9,N23,AF$10)</f>
        <v>6. reporting period</v>
      </c>
    </row>
    <row r="24" spans="1:32" ht="3" customHeight="1" x14ac:dyDescent="0.2">
      <c r="A24" s="133"/>
      <c r="B24" s="121"/>
      <c r="C24" s="104"/>
      <c r="Q24" s="211"/>
      <c r="R24" s="211"/>
      <c r="U24" s="232"/>
      <c r="V24" s="236"/>
      <c r="W24" s="236"/>
      <c r="X24" s="236"/>
      <c r="Y24" s="236"/>
      <c r="Z24" s="236"/>
      <c r="AA24" s="236"/>
      <c r="AB24" s="236"/>
      <c r="AC24" s="236"/>
      <c r="AD24" s="236"/>
      <c r="AE24" s="236"/>
      <c r="AF24" s="236"/>
    </row>
    <row r="25" spans="1:32" ht="12.75" customHeight="1" x14ac:dyDescent="0.2">
      <c r="A25" s="133">
        <v>7</v>
      </c>
      <c r="B25" s="86" t="str">
        <f>IF(U25&lt;&gt;"",U25,"Beneficiary (6)")</f>
        <v>Beneficiary (6)</v>
      </c>
      <c r="C25" s="104"/>
      <c r="D25" s="99"/>
      <c r="F25" s="99"/>
      <c r="H25" s="99"/>
      <c r="J25" s="99"/>
      <c r="L25" s="99"/>
      <c r="N25" s="99"/>
      <c r="P25" s="98">
        <f>D25+F25+H25+J25+L25+N25</f>
        <v>0</v>
      </c>
      <c r="Q25" s="207"/>
      <c r="R25" s="207">
        <f>('8. B6 budget'!L8)-P25</f>
        <v>0</v>
      </c>
      <c r="S25" s="79">
        <f>IF(R25=0,0,B25)</f>
        <v>0</v>
      </c>
      <c r="U25" s="232" t="str">
        <f>T('2. B6 data'!C9:F9)</f>
        <v/>
      </c>
      <c r="V25" s="237">
        <f>IF($T$10&gt;V$9,D25,V$10)</f>
        <v>0</v>
      </c>
      <c r="W25" s="236"/>
      <c r="X25" s="237">
        <f>IF($T$10&gt;X$9,F25,X$10)</f>
        <v>0</v>
      </c>
      <c r="Y25" s="236"/>
      <c r="Z25" s="237">
        <f>IF($T$10&gt;Z$9,H25,Z$10)</f>
        <v>0</v>
      </c>
      <c r="AA25" s="236"/>
      <c r="AB25" s="237">
        <f>IF($T$10&gt;AB$9,J25,AB$10)</f>
        <v>0</v>
      </c>
      <c r="AC25" s="236"/>
      <c r="AD25" s="237">
        <f>IF($T$10&gt;AD$9,L25,AD$10)</f>
        <v>0</v>
      </c>
      <c r="AE25" s="236"/>
      <c r="AF25" s="237" t="str">
        <f>IF($T$10&gt;AF$9,N25,AF$10)</f>
        <v>6. reporting period</v>
      </c>
    </row>
    <row r="26" spans="1:32" ht="3" customHeight="1" x14ac:dyDescent="0.2">
      <c r="A26" s="133"/>
      <c r="B26" s="121"/>
      <c r="C26" s="104"/>
      <c r="Q26" s="211"/>
      <c r="R26" s="211"/>
      <c r="U26" s="232"/>
      <c r="V26" s="236"/>
      <c r="W26" s="236"/>
      <c r="X26" s="236"/>
      <c r="Y26" s="236"/>
      <c r="Z26" s="236"/>
      <c r="AA26" s="236"/>
      <c r="AB26" s="236"/>
      <c r="AC26" s="236"/>
      <c r="AD26" s="236"/>
      <c r="AE26" s="236"/>
      <c r="AF26" s="236"/>
    </row>
    <row r="27" spans="1:32" ht="12.75" customHeight="1" x14ac:dyDescent="0.2">
      <c r="A27" s="133">
        <v>8</v>
      </c>
      <c r="B27" s="86" t="str">
        <f>IF(U27&lt;&gt;"",U27,"Beneficiary (7)")</f>
        <v>Beneficiary (7)</v>
      </c>
      <c r="C27" s="104"/>
      <c r="D27" s="99"/>
      <c r="F27" s="99"/>
      <c r="H27" s="99"/>
      <c r="J27" s="99"/>
      <c r="L27" s="99"/>
      <c r="N27" s="99"/>
      <c r="P27" s="98">
        <f>D27+F27+H27+J27+L27+N27</f>
        <v>0</v>
      </c>
      <c r="Q27" s="207"/>
      <c r="R27" s="207">
        <f>('8. B7 budget'!L8)-P27</f>
        <v>0</v>
      </c>
      <c r="S27" s="79">
        <f>IF(R27=0,0,B27)</f>
        <v>0</v>
      </c>
      <c r="U27" s="232" t="str">
        <f>T('2. B7 data'!C9:F9)</f>
        <v/>
      </c>
      <c r="V27" s="237">
        <f>IF($T$10&gt;V$9,D27,V$10)</f>
        <v>0</v>
      </c>
      <c r="W27" s="236"/>
      <c r="X27" s="237">
        <f>IF($T$10&gt;X$9,F27,X$10)</f>
        <v>0</v>
      </c>
      <c r="Y27" s="236"/>
      <c r="Z27" s="237">
        <f>IF($T$10&gt;Z$9,H27,Z$10)</f>
        <v>0</v>
      </c>
      <c r="AA27" s="236"/>
      <c r="AB27" s="237">
        <f>IF($T$10&gt;AB$9,J27,AB$10)</f>
        <v>0</v>
      </c>
      <c r="AC27" s="236"/>
      <c r="AD27" s="237">
        <f>IF($T$10&gt;AD$9,L27,AD$10)</f>
        <v>0</v>
      </c>
      <c r="AE27" s="236"/>
      <c r="AF27" s="237" t="str">
        <f>IF($T$10&gt;AF$9,N27,AF$10)</f>
        <v>6. reporting period</v>
      </c>
    </row>
    <row r="28" spans="1:32" ht="3" customHeight="1" x14ac:dyDescent="0.2">
      <c r="B28" s="121"/>
      <c r="C28" s="104"/>
      <c r="U28" s="232"/>
      <c r="V28" s="232"/>
      <c r="W28" s="232"/>
      <c r="X28" s="232"/>
      <c r="Y28" s="232"/>
      <c r="Z28" s="232"/>
      <c r="AA28" s="232"/>
      <c r="AB28" s="232"/>
      <c r="AC28" s="232"/>
      <c r="AD28" s="232"/>
      <c r="AE28" s="232"/>
      <c r="AF28" s="232"/>
    </row>
    <row r="29" spans="1:32" ht="12.75" customHeight="1" x14ac:dyDescent="0.2">
      <c r="A29" s="93"/>
      <c r="B29" s="86" t="s">
        <v>143</v>
      </c>
      <c r="C29" s="104"/>
      <c r="D29" s="98">
        <f>D13+D15+D17+D19+D21+D23+D25+D27</f>
        <v>35447.11</v>
      </c>
      <c r="F29" s="98">
        <f>F13+F15+F17+F19+F21+F23+F25+F27</f>
        <v>222366.45</v>
      </c>
      <c r="H29" s="98">
        <f>H13+H15+H17+H19+H21+H23+H25+H27</f>
        <v>401050.94</v>
      </c>
      <c r="J29" s="98">
        <f>J13+J15+J17+J19+J21+J23+J25+J27</f>
        <v>232224.25</v>
      </c>
      <c r="L29" s="98">
        <f>L13+L15+L17+L19+L21+L23+L25+L27</f>
        <v>128066.75</v>
      </c>
      <c r="N29" s="98">
        <f>N13+N15+N17+N19+N21+N23+N25+N27</f>
        <v>0</v>
      </c>
      <c r="P29" s="98">
        <f>D29+F29+H29+J29+L29+N29</f>
        <v>1019155.5</v>
      </c>
      <c r="Q29" s="207"/>
      <c r="R29" s="207">
        <f>SUM(R13:R27)</f>
        <v>0</v>
      </c>
      <c r="S29" s="79">
        <f>IF(R29=0,0,B29)</f>
        <v>0</v>
      </c>
    </row>
    <row r="30" spans="1:32" ht="3" customHeight="1" x14ac:dyDescent="0.2">
      <c r="B30" s="104"/>
      <c r="C30" s="104"/>
    </row>
    <row r="31" spans="1:32" ht="12.75" customHeight="1" x14ac:dyDescent="0.2">
      <c r="B31" s="864" t="s">
        <v>81</v>
      </c>
      <c r="C31" s="865"/>
      <c r="D31" s="865"/>
      <c r="E31" s="865"/>
      <c r="F31" s="865"/>
      <c r="G31" s="865"/>
      <c r="H31" s="865"/>
      <c r="I31" s="865"/>
      <c r="J31" s="865"/>
      <c r="K31" s="865"/>
      <c r="L31" s="865"/>
      <c r="M31" s="865"/>
      <c r="N31" s="865"/>
      <c r="Q31" s="70"/>
      <c r="R31" s="70" t="str">
        <f>IF(OR(R13&lt;&gt;0,R15&lt;&gt;0,R17&lt;&gt;0,R19&lt;&gt;0,R21&lt;&gt;0,R23&lt;&gt;0,R25&lt;&gt;0,R27&lt;&gt;0),R10,"")</f>
        <v/>
      </c>
    </row>
    <row r="32" spans="1:32" x14ac:dyDescent="0.2">
      <c r="B32" s="862" t="str">
        <f>IF(OR(R13&lt;&gt;0,R15&lt;&gt;0,R17&lt;&gt;0,R19&lt;&gt;0,R21&lt;&gt;0,R23&lt;&gt;0,R25&lt;&gt;0,R27&lt;&gt;0),"Payment forecast is not complete!","")</f>
        <v/>
      </c>
      <c r="C32" s="863"/>
      <c r="D32" s="863"/>
      <c r="E32" s="863"/>
      <c r="F32" s="863"/>
      <c r="G32" s="863"/>
      <c r="H32" s="863"/>
    </row>
    <row r="33" spans="1:18" hidden="1" x14ac:dyDescent="0.2">
      <c r="B33" s="44">
        <f>IF(OR(D33=TRUE,F33=TRUE,H33=TRUE,J33=TRUE,L33=TRUE,N33=TRUE),B31,0)</f>
        <v>0</v>
      </c>
      <c r="D33" s="44" t="b">
        <f>IF(AND(NOT($T$10&gt;1),(D29&lt;&gt;0)),TRUE,FALSE)</f>
        <v>0</v>
      </c>
      <c r="F33" s="44" t="b">
        <f>IF(AND(NOT($T$10&gt;2),(F29&lt;&gt;0)),TRUE,FALSE)</f>
        <v>0</v>
      </c>
      <c r="H33" s="44" t="b">
        <f>IF(AND(NOT($T$10&gt;3),(H29&lt;&gt;0)),TRUE,FALSE)</f>
        <v>0</v>
      </c>
      <c r="J33" s="44" t="b">
        <f>IF(AND(NOT($T$10&gt;4),(J29&lt;&gt;0)),TRUE,FALSE)</f>
        <v>0</v>
      </c>
      <c r="L33" s="44" t="b">
        <f>IF(AND(NOT($T$10&gt;5),(L29&lt;&gt;0)),TRUE,FALSE)</f>
        <v>0</v>
      </c>
      <c r="N33" s="44" t="b">
        <f>IF(AND(NOT($T$10&gt;6),(N29&lt;&gt;0)),TRUE,FALSE)</f>
        <v>0</v>
      </c>
    </row>
    <row r="34" spans="1:18" hidden="1" x14ac:dyDescent="0.2"/>
    <row r="35" spans="1:18" hidden="1" x14ac:dyDescent="0.2"/>
    <row r="36" spans="1:18" ht="12.75" customHeight="1" x14ac:dyDescent="0.2">
      <c r="A36" s="811" t="s">
        <v>383</v>
      </c>
      <c r="B36" s="868"/>
      <c r="D36" s="808" t="s">
        <v>8</v>
      </c>
      <c r="E36" s="850"/>
      <c r="F36" s="850"/>
      <c r="G36" s="815"/>
      <c r="H36" s="815"/>
      <c r="I36" s="815"/>
      <c r="J36" s="815"/>
      <c r="K36" s="815"/>
      <c r="L36" s="815"/>
      <c r="M36" s="815"/>
      <c r="N36" s="816"/>
      <c r="O36" s="309"/>
      <c r="P36" s="860" t="s">
        <v>185</v>
      </c>
      <c r="Q36" s="79"/>
      <c r="R36" s="79"/>
    </row>
    <row r="37" spans="1:18" ht="25.5" x14ac:dyDescent="0.2">
      <c r="A37" s="869"/>
      <c r="B37" s="870"/>
      <c r="C37" s="129"/>
      <c r="D37" s="86" t="s">
        <v>9</v>
      </c>
      <c r="E37" s="120"/>
      <c r="F37" s="86" t="s">
        <v>10</v>
      </c>
      <c r="H37" s="86" t="s">
        <v>11</v>
      </c>
      <c r="I37" s="120"/>
      <c r="J37" s="86" t="s">
        <v>12</v>
      </c>
      <c r="K37" s="128"/>
      <c r="L37" s="86" t="s">
        <v>13</v>
      </c>
      <c r="M37" s="120"/>
      <c r="N37" s="86" t="s">
        <v>14</v>
      </c>
      <c r="O37" s="120"/>
      <c r="P37" s="861"/>
      <c r="Q37" s="79"/>
      <c r="R37" s="79"/>
    </row>
    <row r="38" spans="1:18" ht="3" customHeight="1" x14ac:dyDescent="0.2">
      <c r="A38" s="131"/>
      <c r="B38" s="104"/>
      <c r="C38" s="104"/>
      <c r="Q38" s="79"/>
      <c r="R38" s="79"/>
    </row>
    <row r="39" spans="1:18" x14ac:dyDescent="0.2">
      <c r="A39" s="310">
        <v>1</v>
      </c>
      <c r="B39" s="86" t="str">
        <f>B13</f>
        <v>Letenye</v>
      </c>
      <c r="C39" s="104"/>
      <c r="D39" s="98">
        <f>IF(OR('10. Sources of funding'!$C$21=0,'10. Sources of funding'!$C$27=0),0,D13*('10. Sources of funding'!$C$21/'10. Sources of funding'!$C$27))</f>
        <v>11126.499842128433</v>
      </c>
      <c r="F39" s="98">
        <f>IF(OR('10. Sources of funding'!$C$21=0,'10. Sources of funding'!$C$27=0),0,F13*('10. Sources of funding'!$C$21/'10. Sources of funding'!$C$27))</f>
        <v>14302.949797058451</v>
      </c>
      <c r="H39" s="98">
        <f>IF(OR('10. Sources of funding'!$C$21=0,'10. Sources of funding'!$C$27=0),0,H13*('10. Sources of funding'!$C$21/'10. Sources of funding'!$C$27))</f>
        <v>234799.74666847574</v>
      </c>
      <c r="J39" s="98">
        <f>IF(OR('10. Sources of funding'!$C$21=0,'10. Sources of funding'!$C$27=0),0,J13*('10. Sources of funding'!$C$21/'10. Sources of funding'!$C$27))</f>
        <v>64672.674082373022</v>
      </c>
      <c r="L39" s="98">
        <f>IF(OR('10. Sources of funding'!$C$21=0,'10. Sources of funding'!$C$27=0),0,L13*('10. Sources of funding'!$C$21/'10. Sources of funding'!$C$27))</f>
        <v>27488.999609964361</v>
      </c>
      <c r="N39" s="98">
        <f>IF(OR('10. Sources of funding'!$C$21=0,'10. Sources of funding'!$C$27=0),0,N13*('10. Sources of funding'!$C$21/'10. Sources of funding'!$C$27))</f>
        <v>0</v>
      </c>
      <c r="P39" s="311">
        <f>D39+F39+H39+J39+L39+N39</f>
        <v>352390.87</v>
      </c>
      <c r="Q39" s="79"/>
      <c r="R39" s="79"/>
    </row>
    <row r="40" spans="1:18" ht="3" customHeight="1" x14ac:dyDescent="0.2">
      <c r="A40" s="312"/>
      <c r="B40" s="104"/>
      <c r="C40" s="104"/>
      <c r="P40" s="213"/>
      <c r="Q40" s="79"/>
      <c r="R40" s="79"/>
    </row>
    <row r="41" spans="1:18" x14ac:dyDescent="0.2">
      <c r="A41" s="312">
        <v>2</v>
      </c>
      <c r="B41" s="86" t="str">
        <f>B15</f>
        <v>GP</v>
      </c>
      <c r="C41" s="104"/>
      <c r="D41" s="98">
        <f>IF(OR('10. Sources of funding'!$G$21=0,'10. Sources of funding'!$G$27=0),0,D15*('10. Sources of funding'!$G$21/'10. Sources of funding'!$G$27))</f>
        <v>6421.75</v>
      </c>
      <c r="F41" s="98">
        <f>IF(OR('10. Sources of funding'!$G$21=0,'10. Sources of funding'!$G$27=0),0,F15*('10. Sources of funding'!$G$21/'10. Sources of funding'!$G$27))</f>
        <v>12823.1</v>
      </c>
      <c r="H41" s="98">
        <f>IF(OR('10. Sources of funding'!$G$21=0,'10. Sources of funding'!$G$27=0),0,H15*('10. Sources of funding'!$G$21/'10. Sources of funding'!$G$27))</f>
        <v>93762.65</v>
      </c>
      <c r="J41" s="98">
        <f>IF(OR('10. Sources of funding'!$G$21=0,'10. Sources of funding'!$G$27=0),0,J15*('10. Sources of funding'!$G$21/'10. Sources of funding'!$G$27))</f>
        <v>94559.099999999991</v>
      </c>
      <c r="L41" s="98">
        <f>IF(OR('10. Sources of funding'!$G$21=0,'10. Sources of funding'!$G$27=0),0,L15*('10. Sources of funding'!$G$21/'10. Sources of funding'!$G$27))</f>
        <v>29800.149999999998</v>
      </c>
      <c r="N41" s="98">
        <f>IF(OR('10. Sources of funding'!$G$21=0,'10. Sources of funding'!$G$27=0),0,N15*('10. Sources of funding'!$G$21/'10. Sources of funding'!$G$27))</f>
        <v>0</v>
      </c>
      <c r="P41" s="311">
        <f>D41+F41+H41+J41+L41+N41</f>
        <v>237366.74999999997</v>
      </c>
      <c r="Q41" s="79"/>
      <c r="R41" s="79"/>
    </row>
    <row r="42" spans="1:18" ht="3" customHeight="1" x14ac:dyDescent="0.2">
      <c r="A42" s="312"/>
      <c r="B42" s="121"/>
      <c r="C42" s="104"/>
      <c r="P42" s="213"/>
      <c r="Q42" s="79"/>
      <c r="R42" s="79"/>
    </row>
    <row r="43" spans="1:18" x14ac:dyDescent="0.2">
      <c r="A43" s="312">
        <v>3</v>
      </c>
      <c r="B43" s="86" t="str">
        <f>B17</f>
        <v>Grad Ludbreg</v>
      </c>
      <c r="C43" s="104"/>
      <c r="D43" s="98">
        <f>IF(OR('10. Sources of funding'!$K$21=0,'10. Sources of funding'!$K$27=0),0,D17*('10. Sources of funding'!$K$21/'10. Sources of funding'!$K$27))</f>
        <v>3231.7933694316907</v>
      </c>
      <c r="F43" s="98">
        <f>IF(OR('10. Sources of funding'!$K$21=0,'10. Sources of funding'!$K$27=0),0,F17*('10. Sources of funding'!$K$21/'10. Sources of funding'!$K$27))</f>
        <v>20434.38167442659</v>
      </c>
      <c r="H43" s="98">
        <f>IF(OR('10. Sources of funding'!$K$21=0,'10. Sources of funding'!$K$27=0),0,H17*('10. Sources of funding'!$K$21/'10. Sources of funding'!$K$27))</f>
        <v>11744.398525512283</v>
      </c>
      <c r="J43" s="98">
        <f>IF(OR('10. Sources of funding'!$K$21=0,'10. Sources of funding'!$K$27=0),0,J17*('10. Sources of funding'!$K$21/'10. Sources of funding'!$K$27))</f>
        <v>37469.698486179455</v>
      </c>
      <c r="L43" s="98">
        <f>IF(OR('10. Sources of funding'!$K$21=0,'10. Sources of funding'!$K$27=0),0,L17*('10. Sources of funding'!$K$21/'10. Sources of funding'!$K$27))</f>
        <v>50878.447944449974</v>
      </c>
      <c r="N43" s="98">
        <f>IF(OR('10. Sources of funding'!$K$21=0,'10. Sources of funding'!$K$27=0),0,N17*('10. Sources of funding'!$K$21/'10. Sources of funding'!$K$27))</f>
        <v>0</v>
      </c>
      <c r="P43" s="311">
        <f>D43+F43+H43+J43+L43+N43</f>
        <v>123758.71999999999</v>
      </c>
      <c r="Q43" s="79"/>
      <c r="R43" s="79"/>
    </row>
    <row r="44" spans="1:18" ht="3" customHeight="1" x14ac:dyDescent="0.2">
      <c r="A44" s="312"/>
      <c r="B44" s="121"/>
      <c r="C44" s="104"/>
      <c r="P44" s="213"/>
      <c r="Q44" s="79"/>
      <c r="R44" s="79"/>
    </row>
    <row r="45" spans="1:18" x14ac:dyDescent="0.2">
      <c r="A45" s="312">
        <v>4</v>
      </c>
      <c r="B45" s="86" t="str">
        <f>B19</f>
        <v>ŽUC Varaždin</v>
      </c>
      <c r="C45" s="104"/>
      <c r="D45" s="98">
        <f>IF(OR('10. Sources of funding'!$O$21=0,'10. Sources of funding'!$O$27=0),0,D19*('10. Sources of funding'!$O$21/'10. Sources of funding'!$O$27))</f>
        <v>9349.9996939760586</v>
      </c>
      <c r="F45" s="98">
        <f>IF(OR('10. Sources of funding'!$O$21=0,'10. Sources of funding'!$O$27=0),0,F19*('10. Sources of funding'!$O$21/'10. Sources of funding'!$O$27))</f>
        <v>141451.04537033071</v>
      </c>
      <c r="H45" s="98">
        <f>IF(OR('10. Sources of funding'!$O$21=0,'10. Sources of funding'!$O$27=0),0,H19*('10. Sources of funding'!$O$21/'10. Sources of funding'!$O$27))</f>
        <v>586.49998080395267</v>
      </c>
      <c r="J45" s="98">
        <f>IF(OR('10. Sources of funding'!$O$21=0,'10. Sources of funding'!$O$27=0),0,J19*('10. Sources of funding'!$O$21/'10. Sources of funding'!$O$27))</f>
        <v>689.13747744464445</v>
      </c>
      <c r="L45" s="98">
        <f>IF(OR('10. Sources of funding'!$O$21=0,'10. Sources of funding'!$O$27=0),0,L19*('10. Sources of funding'!$O$21/'10. Sources of funding'!$O$27))</f>
        <v>689.13747744464445</v>
      </c>
      <c r="N45" s="98">
        <f>IF(OR('10. Sources of funding'!$O$21=0,'10. Sources of funding'!$O$27=0),0,N19*('10. Sources of funding'!$O$21/'10. Sources of funding'!$O$27))</f>
        <v>0</v>
      </c>
      <c r="P45" s="311">
        <f>D45+F45+H45+J45+L45+N45</f>
        <v>152765.81999999998</v>
      </c>
      <c r="Q45" s="79"/>
      <c r="R45" s="79"/>
    </row>
    <row r="46" spans="1:18" ht="3" customHeight="1" x14ac:dyDescent="0.2">
      <c r="A46" s="312"/>
      <c r="B46" s="121"/>
      <c r="C46" s="104"/>
      <c r="P46" s="213"/>
      <c r="Q46" s="79"/>
      <c r="R46" s="79"/>
    </row>
    <row r="47" spans="1:18" x14ac:dyDescent="0.2">
      <c r="A47" s="312">
        <v>5</v>
      </c>
      <c r="B47" s="86" t="str">
        <f>B21</f>
        <v>Beneficiary (4)</v>
      </c>
      <c r="C47" s="104"/>
      <c r="D47" s="98">
        <f>IF(OR('10. Sources of funding'!$S$21=0,'10. Sources of funding'!$S$27=0),0,D21*('10. Sources of funding'!$S$21/'10. Sources of funding'!$S$27))</f>
        <v>0</v>
      </c>
      <c r="F47" s="98">
        <f>IF(OR('10. Sources of funding'!$S$21=0,'10. Sources of funding'!$S$27=0),0,F21*('10. Sources of funding'!$S$21/'10. Sources of funding'!$S$27))</f>
        <v>0</v>
      </c>
      <c r="H47" s="98">
        <f>IF(OR('10. Sources of funding'!$S$21=0,'10. Sources of funding'!$S$27=0),0,H21*('10. Sources of funding'!$S$21/'10. Sources of funding'!$S$27))</f>
        <v>0</v>
      </c>
      <c r="J47" s="98">
        <f>IF(OR('10. Sources of funding'!$S$21=0,'10. Sources of funding'!$S$27=0),0,J21*('10. Sources of funding'!$S$21/'10. Sources of funding'!$S$27))</f>
        <v>0</v>
      </c>
      <c r="L47" s="98">
        <f>IF(OR('10. Sources of funding'!$S$21=0,'10. Sources of funding'!$S$27=0),0,L21*('10. Sources of funding'!$S$21/'10. Sources of funding'!$S$27))</f>
        <v>0</v>
      </c>
      <c r="N47" s="98">
        <f>IF(OR('10. Sources of funding'!$S$21=0,'10. Sources of funding'!$S$27=0),0,N21*('10. Sources of funding'!$S$21/'10. Sources of funding'!$S$27))</f>
        <v>0</v>
      </c>
      <c r="P47" s="311">
        <f>D47+F47+H47+J47+L47+N47</f>
        <v>0</v>
      </c>
      <c r="Q47" s="79"/>
      <c r="R47" s="79"/>
    </row>
    <row r="48" spans="1:18" ht="3" customHeight="1" x14ac:dyDescent="0.2">
      <c r="A48" s="312"/>
      <c r="B48" s="121"/>
      <c r="C48" s="104"/>
      <c r="P48" s="213"/>
      <c r="Q48" s="79"/>
      <c r="R48" s="79"/>
    </row>
    <row r="49" spans="1:18" x14ac:dyDescent="0.2">
      <c r="A49" s="312">
        <v>6</v>
      </c>
      <c r="B49" s="86" t="str">
        <f>B23</f>
        <v>Beneficiary (5)</v>
      </c>
      <c r="C49" s="104"/>
      <c r="D49" s="98">
        <f>IF(OR('10. Sources of funding'!$W$21=0,'10. Sources of funding'!$W$27=0),0,D23*('10. Sources of funding'!$W$21/'10. Sources of funding'!$W$27))</f>
        <v>0</v>
      </c>
      <c r="F49" s="98">
        <f>IF(OR('10. Sources of funding'!$W$21=0,'10. Sources of funding'!$W$27=0),0,F23*('10. Sources of funding'!$W$21/'10. Sources of funding'!$W$27))</f>
        <v>0</v>
      </c>
      <c r="H49" s="98">
        <f>IF(OR('10. Sources of funding'!$W$21=0,'10. Sources of funding'!$W$27=0),0,H23*('10. Sources of funding'!$W$21/'10. Sources of funding'!$W$27))</f>
        <v>0</v>
      </c>
      <c r="J49" s="98">
        <f>IF(OR('10. Sources of funding'!$W$21=0,'10. Sources of funding'!$W$27=0),0,J23*('10. Sources of funding'!$W$21/'10. Sources of funding'!$W$27))</f>
        <v>0</v>
      </c>
      <c r="L49" s="98">
        <f>IF(OR('10. Sources of funding'!$W$21=0,'10. Sources of funding'!$W$27=0),0,L23*('10. Sources of funding'!$W$21/'10. Sources of funding'!$W$27))</f>
        <v>0</v>
      </c>
      <c r="N49" s="98">
        <f>IF(OR('10. Sources of funding'!$W$21=0,'10. Sources of funding'!$W$27=0),0,N23*('10. Sources of funding'!$W$21/'10. Sources of funding'!$W$27))</f>
        <v>0</v>
      </c>
      <c r="P49" s="311">
        <f>D49+F49+H49+J49+L49+N49</f>
        <v>0</v>
      </c>
      <c r="Q49" s="79"/>
      <c r="R49" s="79"/>
    </row>
    <row r="50" spans="1:18" ht="3" customHeight="1" x14ac:dyDescent="0.2">
      <c r="A50" s="312"/>
      <c r="B50" s="121"/>
      <c r="C50" s="104"/>
      <c r="P50" s="213"/>
      <c r="Q50" s="79"/>
      <c r="R50" s="79"/>
    </row>
    <row r="51" spans="1:18" x14ac:dyDescent="0.2">
      <c r="A51" s="312">
        <v>7</v>
      </c>
      <c r="B51" s="86" t="str">
        <f>B25</f>
        <v>Beneficiary (6)</v>
      </c>
      <c r="C51" s="104"/>
      <c r="D51" s="98">
        <f>IF(OR('10. Sources of funding'!$AA$21=0,'10. Sources of funding'!$AA$27=0),0,D25*('10. Sources of funding'!$AA$21/'10. Sources of funding'!$AA$27))</f>
        <v>0</v>
      </c>
      <c r="F51" s="98">
        <f>IF(OR('10. Sources of funding'!$AA$21=0,'10. Sources of funding'!$AA$27=0),0,F25*('10. Sources of funding'!$AA$21/'10. Sources of funding'!$AA$27))</f>
        <v>0</v>
      </c>
      <c r="H51" s="98">
        <f>IF(OR('10. Sources of funding'!$AA$21=0,'10. Sources of funding'!$AA$27=0),0,H25*('10. Sources of funding'!$AA$21/'10. Sources of funding'!$AA$27))</f>
        <v>0</v>
      </c>
      <c r="J51" s="98">
        <f>IF(OR('10. Sources of funding'!$AA$21=0,'10. Sources of funding'!$AA$27=0),0,J25*('10. Sources of funding'!$AA$21/'10. Sources of funding'!$AA$27))</f>
        <v>0</v>
      </c>
      <c r="L51" s="98">
        <f>IF(OR('10. Sources of funding'!$AA$21=0,'10. Sources of funding'!$AA$27=0),0,L25*('10. Sources of funding'!$AA$21/'10. Sources of funding'!$AA$27))</f>
        <v>0</v>
      </c>
      <c r="N51" s="98">
        <f>IF(OR('10. Sources of funding'!$AA$21=0,'10. Sources of funding'!$AA$27=0),0,N25*('10. Sources of funding'!$AA$21/'10. Sources of funding'!$AA$27))</f>
        <v>0</v>
      </c>
      <c r="P51" s="311">
        <f>D51+F51+H51+J51+L51+N51</f>
        <v>0</v>
      </c>
      <c r="Q51" s="79"/>
      <c r="R51" s="79"/>
    </row>
    <row r="52" spans="1:18" ht="3" customHeight="1" x14ac:dyDescent="0.2">
      <c r="A52" s="312"/>
      <c r="B52" s="121"/>
      <c r="C52" s="104"/>
      <c r="P52" s="213"/>
      <c r="Q52" s="79"/>
      <c r="R52" s="79"/>
    </row>
    <row r="53" spans="1:18" x14ac:dyDescent="0.2">
      <c r="A53" s="312">
        <v>8</v>
      </c>
      <c r="B53" s="86" t="str">
        <f>B27</f>
        <v>Beneficiary (7)</v>
      </c>
      <c r="C53" s="104"/>
      <c r="D53" s="98">
        <f>IF(OR('10. Sources of funding'!$AE$21=0,'10. Sources of funding'!$AE$27=0),0,D27*('10. Sources of funding'!$AE$21/'10. Sources of funding'!$AE$27))</f>
        <v>0</v>
      </c>
      <c r="F53" s="98">
        <f>IF(OR('10. Sources of funding'!$AE$21=0,'10. Sources of funding'!$AE$27=0),0,F27*('10. Sources of funding'!$AE$21/'10. Sources of funding'!$AE$27))</f>
        <v>0</v>
      </c>
      <c r="H53" s="98">
        <f>IF(OR('10. Sources of funding'!$AE$21=0,'10. Sources of funding'!$AE$27=0),0,H27*('10. Sources of funding'!$AE$21/'10. Sources of funding'!$AE$27))</f>
        <v>0</v>
      </c>
      <c r="J53" s="98">
        <f>IF(OR('10. Sources of funding'!$AE$21=0,'10. Sources of funding'!$AE$27=0),0,J27*('10. Sources of funding'!$AE$21/'10. Sources of funding'!$AE$27))</f>
        <v>0</v>
      </c>
      <c r="L53" s="98">
        <f>IF(OR('10. Sources of funding'!$AE$21=0,'10. Sources of funding'!$AE$27=0),0,L27*('10. Sources of funding'!$AE$21/'10. Sources of funding'!$AE$27))</f>
        <v>0</v>
      </c>
      <c r="N53" s="98">
        <f>IF(OR('10. Sources of funding'!$AE$21=0,'10. Sources of funding'!$AE$27=0),0,N27*('10. Sources of funding'!$AE$21/'10. Sources of funding'!$AE$27))</f>
        <v>0</v>
      </c>
      <c r="P53" s="311">
        <f>D53+F53+H53+J53+L53+N53</f>
        <v>0</v>
      </c>
      <c r="Q53" s="79"/>
      <c r="R53" s="79"/>
    </row>
    <row r="54" spans="1:18" ht="3" customHeight="1" x14ac:dyDescent="0.2">
      <c r="B54" s="121"/>
      <c r="C54" s="104"/>
      <c r="Q54" s="79"/>
      <c r="R54" s="79"/>
    </row>
    <row r="55" spans="1:18" x14ac:dyDescent="0.2">
      <c r="A55" s="93"/>
      <c r="B55" s="303" t="s">
        <v>143</v>
      </c>
      <c r="C55" s="104"/>
      <c r="D55" s="311">
        <f>D39+D41+D43+D45+D47+D49+D51+D53</f>
        <v>30130.042905536182</v>
      </c>
      <c r="E55" s="213"/>
      <c r="F55" s="311">
        <f>F39+F41+F43+F45+F47+F49+F51+F53</f>
        <v>189011.47684181575</v>
      </c>
      <c r="G55" s="213"/>
      <c r="H55" s="311">
        <f>H39+H41+H43+H45+H47+H49+H51+H53</f>
        <v>340893.29517479194</v>
      </c>
      <c r="I55" s="213"/>
      <c r="J55" s="311">
        <f>J39+J41+J43+J45+J47+J49+J51+J53</f>
        <v>197390.61004599711</v>
      </c>
      <c r="K55" s="213"/>
      <c r="L55" s="311">
        <f>L39+L41+L43+L45+L47+L49+L51+L53</f>
        <v>108856.73503185897</v>
      </c>
      <c r="M55" s="213"/>
      <c r="N55" s="311">
        <f>N39+N41+N43+N45+N47+N49+N51+N53</f>
        <v>0</v>
      </c>
      <c r="P55" s="313">
        <f>D55+F55+H55+J55+L55+N55</f>
        <v>866282.16</v>
      </c>
      <c r="Q55" s="79"/>
      <c r="R55" s="79"/>
    </row>
  </sheetData>
  <sheetProtection password="F58B" sheet="1" objects="1" scenarios="1" formatCells="0" selectLockedCells="1"/>
  <mergeCells count="16">
    <mergeCell ref="P36:P37"/>
    <mergeCell ref="B32:H32"/>
    <mergeCell ref="B31:N31"/>
    <mergeCell ref="A11:B11"/>
    <mergeCell ref="A36:B37"/>
    <mergeCell ref="D36:N36"/>
    <mergeCell ref="A1:P1"/>
    <mergeCell ref="D9:H9"/>
    <mergeCell ref="P9:P10"/>
    <mergeCell ref="J9:N9"/>
    <mergeCell ref="D5:H5"/>
    <mergeCell ref="I5:K5"/>
    <mergeCell ref="L5:P5"/>
    <mergeCell ref="A9:B10"/>
    <mergeCell ref="B7:N7"/>
    <mergeCell ref="F3:P3"/>
  </mergeCells>
  <phoneticPr fontId="3" type="noConversion"/>
  <conditionalFormatting sqref="B13">
    <cfRule type="cellIs" dxfId="116" priority="14" stopIfTrue="1" operator="equal">
      <formula>$S$13</formula>
    </cfRule>
  </conditionalFormatting>
  <conditionalFormatting sqref="B15">
    <cfRule type="cellIs" dxfId="115" priority="13" stopIfTrue="1" operator="equal">
      <formula>$S$15</formula>
    </cfRule>
  </conditionalFormatting>
  <conditionalFormatting sqref="B17">
    <cfRule type="cellIs" dxfId="114" priority="12" stopIfTrue="1" operator="equal">
      <formula>$S$17</formula>
    </cfRule>
  </conditionalFormatting>
  <conditionalFormatting sqref="B19">
    <cfRule type="cellIs" dxfId="113" priority="11" stopIfTrue="1" operator="equal">
      <formula>$S$19</formula>
    </cfRule>
  </conditionalFormatting>
  <conditionalFormatting sqref="B21">
    <cfRule type="cellIs" dxfId="112" priority="10" stopIfTrue="1" operator="equal">
      <formula>$S$21</formula>
    </cfRule>
  </conditionalFormatting>
  <conditionalFormatting sqref="B23">
    <cfRule type="cellIs" dxfId="111" priority="9" stopIfTrue="1" operator="equal">
      <formula>$S$23</formula>
    </cfRule>
  </conditionalFormatting>
  <conditionalFormatting sqref="B25">
    <cfRule type="cellIs" dxfId="110" priority="8" stopIfTrue="1" operator="equal">
      <formula>$S$25</formula>
    </cfRule>
  </conditionalFormatting>
  <conditionalFormatting sqref="B27">
    <cfRule type="cellIs" dxfId="109" priority="7" stopIfTrue="1" operator="equal">
      <formula>$S$27</formula>
    </cfRule>
  </conditionalFormatting>
  <conditionalFormatting sqref="Q10:R11">
    <cfRule type="cellIs" dxfId="108" priority="23" stopIfTrue="1" operator="equal">
      <formula>$R$31</formula>
    </cfRule>
  </conditionalFormatting>
  <conditionalFormatting sqref="Q13:R13 Q15:R15 Q29:R29 Q17:R17 Q19:R19 Q21:R21 Q23:R23 Q25:R25 Q27:R27">
    <cfRule type="cellIs" dxfId="107" priority="24" stopIfTrue="1" operator="notEqual">
      <formula>0</formula>
    </cfRule>
  </conditionalFormatting>
  <conditionalFormatting sqref="V13 V15 V17 V19 V21 V23 V25 V27 X13 X15 X17 X19 X21 X23 X25 X27 Z13 Z15 Z17 Z19 Z21 Z23 Z25 Z27 AB13 AB15 AB17 AB19 AB21 AB23 AB25 AB27 AD27 AD25 AD23 AD21 AD19 AD17 AD15 AD13 AF13 AF15 AF17 AF19 AF21 AF23 AF25 AF27">
    <cfRule type="expression" dxfId="106" priority="35" stopIfTrue="1">
      <formula>$V$13</formula>
    </cfRule>
  </conditionalFormatting>
  <conditionalFormatting sqref="D13">
    <cfRule type="cellIs" dxfId="105" priority="36" stopIfTrue="1" operator="notEqual">
      <formula>$V$13</formula>
    </cfRule>
  </conditionalFormatting>
  <conditionalFormatting sqref="D15">
    <cfRule type="cellIs" dxfId="104" priority="37" stopIfTrue="1" operator="notEqual">
      <formula>$V$15</formula>
    </cfRule>
  </conditionalFormatting>
  <conditionalFormatting sqref="D17">
    <cfRule type="cellIs" dxfId="103" priority="38" stopIfTrue="1" operator="notEqual">
      <formula>$V$17</formula>
    </cfRule>
  </conditionalFormatting>
  <conditionalFormatting sqref="D19">
    <cfRule type="cellIs" dxfId="102" priority="39" stopIfTrue="1" operator="notEqual">
      <formula>$V$19</formula>
    </cfRule>
  </conditionalFormatting>
  <conditionalFormatting sqref="D21">
    <cfRule type="cellIs" dxfId="101" priority="40" stopIfTrue="1" operator="notEqual">
      <formula>$V$21</formula>
    </cfRule>
  </conditionalFormatting>
  <conditionalFormatting sqref="D23">
    <cfRule type="cellIs" dxfId="100" priority="41" stopIfTrue="1" operator="notEqual">
      <formula>$V$23</formula>
    </cfRule>
  </conditionalFormatting>
  <conditionalFormatting sqref="D25">
    <cfRule type="cellIs" dxfId="99" priority="42" stopIfTrue="1" operator="notEqual">
      <formula>$V$25</formula>
    </cfRule>
  </conditionalFormatting>
  <conditionalFormatting sqref="D27">
    <cfRule type="cellIs" dxfId="98" priority="43" stopIfTrue="1" operator="notEqual">
      <formula>$V$27</formula>
    </cfRule>
  </conditionalFormatting>
  <conditionalFormatting sqref="F13">
    <cfRule type="cellIs" dxfId="97" priority="44" stopIfTrue="1" operator="notEqual">
      <formula>$X$13</formula>
    </cfRule>
  </conditionalFormatting>
  <conditionalFormatting sqref="F17">
    <cfRule type="cellIs" dxfId="96" priority="46" stopIfTrue="1" operator="notEqual">
      <formula>$X$17</formula>
    </cfRule>
  </conditionalFormatting>
  <conditionalFormatting sqref="F19">
    <cfRule type="cellIs" dxfId="95" priority="47" stopIfTrue="1" operator="notEqual">
      <formula>$X$19</formula>
    </cfRule>
  </conditionalFormatting>
  <conditionalFormatting sqref="F21">
    <cfRule type="cellIs" dxfId="94" priority="48" stopIfTrue="1" operator="notEqual">
      <formula>$X$21</formula>
    </cfRule>
  </conditionalFormatting>
  <conditionalFormatting sqref="F23">
    <cfRule type="cellIs" dxfId="93" priority="49" stopIfTrue="1" operator="notEqual">
      <formula>$X$23</formula>
    </cfRule>
  </conditionalFormatting>
  <conditionalFormatting sqref="F25">
    <cfRule type="cellIs" dxfId="92" priority="50" stopIfTrue="1" operator="notEqual">
      <formula>$X$25</formula>
    </cfRule>
  </conditionalFormatting>
  <conditionalFormatting sqref="F27">
    <cfRule type="cellIs" dxfId="91" priority="51" stopIfTrue="1" operator="notEqual">
      <formula>$X$27</formula>
    </cfRule>
  </conditionalFormatting>
  <conditionalFormatting sqref="H13">
    <cfRule type="cellIs" dxfId="90" priority="52" stopIfTrue="1" operator="notEqual">
      <formula>$Z$13</formula>
    </cfRule>
  </conditionalFormatting>
  <conditionalFormatting sqref="H17">
    <cfRule type="cellIs" dxfId="89" priority="54" stopIfTrue="1" operator="notEqual">
      <formula>$Z$17</formula>
    </cfRule>
  </conditionalFormatting>
  <conditionalFormatting sqref="H19">
    <cfRule type="cellIs" dxfId="88" priority="55" stopIfTrue="1" operator="notEqual">
      <formula>$Z$19</formula>
    </cfRule>
  </conditionalFormatting>
  <conditionalFormatting sqref="H21">
    <cfRule type="cellIs" dxfId="87" priority="56" stopIfTrue="1" operator="notEqual">
      <formula>$Z$21</formula>
    </cfRule>
  </conditionalFormatting>
  <conditionalFormatting sqref="H23">
    <cfRule type="cellIs" dxfId="86" priority="57" stopIfTrue="1" operator="notEqual">
      <formula>$Z$23</formula>
    </cfRule>
  </conditionalFormatting>
  <conditionalFormatting sqref="H25">
    <cfRule type="cellIs" dxfId="85" priority="58" stopIfTrue="1" operator="notEqual">
      <formula>$Z$25</formula>
    </cfRule>
  </conditionalFormatting>
  <conditionalFormatting sqref="H27">
    <cfRule type="cellIs" dxfId="84" priority="59" stopIfTrue="1" operator="notEqual">
      <formula>$Z$27</formula>
    </cfRule>
  </conditionalFormatting>
  <conditionalFormatting sqref="J13">
    <cfRule type="cellIs" dxfId="83" priority="60" stopIfTrue="1" operator="notEqual">
      <formula>$AB$13</formula>
    </cfRule>
  </conditionalFormatting>
  <conditionalFormatting sqref="J17">
    <cfRule type="cellIs" dxfId="82" priority="62" stopIfTrue="1" operator="notEqual">
      <formula>$AB$17</formula>
    </cfRule>
  </conditionalFormatting>
  <conditionalFormatting sqref="J19">
    <cfRule type="cellIs" dxfId="81" priority="63" stopIfTrue="1" operator="notEqual">
      <formula>$AB$19</formula>
    </cfRule>
  </conditionalFormatting>
  <conditionalFormatting sqref="J21">
    <cfRule type="cellIs" dxfId="80" priority="64" stopIfTrue="1" operator="notEqual">
      <formula>$AB$21</formula>
    </cfRule>
  </conditionalFormatting>
  <conditionalFormatting sqref="J23">
    <cfRule type="cellIs" dxfId="79" priority="65" stopIfTrue="1" operator="notEqual">
      <formula>$AB$23</formula>
    </cfRule>
  </conditionalFormatting>
  <conditionalFormatting sqref="J25">
    <cfRule type="cellIs" dxfId="78" priority="66" stopIfTrue="1" operator="notEqual">
      <formula>$AB$25</formula>
    </cfRule>
  </conditionalFormatting>
  <conditionalFormatting sqref="J27">
    <cfRule type="cellIs" dxfId="77" priority="67" stopIfTrue="1" operator="notEqual">
      <formula>$AB$27</formula>
    </cfRule>
  </conditionalFormatting>
  <conditionalFormatting sqref="L13">
    <cfRule type="cellIs" dxfId="76" priority="68" stopIfTrue="1" operator="notEqual">
      <formula>$AD$13</formula>
    </cfRule>
  </conditionalFormatting>
  <conditionalFormatting sqref="L17">
    <cfRule type="cellIs" dxfId="75" priority="70" stopIfTrue="1" operator="notEqual">
      <formula>$AD$17</formula>
    </cfRule>
  </conditionalFormatting>
  <conditionalFormatting sqref="L19">
    <cfRule type="cellIs" dxfId="74" priority="71" stopIfTrue="1" operator="notEqual">
      <formula>$AD$19</formula>
    </cfRule>
  </conditionalFormatting>
  <conditionalFormatting sqref="L21">
    <cfRule type="cellIs" dxfId="73" priority="72" stopIfTrue="1" operator="notEqual">
      <formula>$AD$21</formula>
    </cfRule>
  </conditionalFormatting>
  <conditionalFormatting sqref="L23">
    <cfRule type="cellIs" dxfId="72" priority="73" stopIfTrue="1" operator="notEqual">
      <formula>$AD$23</formula>
    </cfRule>
  </conditionalFormatting>
  <conditionalFormatting sqref="L25">
    <cfRule type="cellIs" dxfId="71" priority="74" stopIfTrue="1" operator="notEqual">
      <formula>$AD$25</formula>
    </cfRule>
  </conditionalFormatting>
  <conditionalFormatting sqref="L27">
    <cfRule type="cellIs" dxfId="70" priority="75" stopIfTrue="1" operator="notEqual">
      <formula>$AD$27</formula>
    </cfRule>
  </conditionalFormatting>
  <conditionalFormatting sqref="N13">
    <cfRule type="cellIs" dxfId="69" priority="76" stopIfTrue="1" operator="notEqual">
      <formula>$AF$13</formula>
    </cfRule>
  </conditionalFormatting>
  <conditionalFormatting sqref="N15">
    <cfRule type="cellIs" dxfId="68" priority="77" stopIfTrue="1" operator="notEqual">
      <formula>$AF$15</formula>
    </cfRule>
  </conditionalFormatting>
  <conditionalFormatting sqref="N17">
    <cfRule type="cellIs" dxfId="67" priority="78" stopIfTrue="1" operator="notEqual">
      <formula>$AF$17</formula>
    </cfRule>
  </conditionalFormatting>
  <conditionalFormatting sqref="N19">
    <cfRule type="cellIs" dxfId="66" priority="79" stopIfTrue="1" operator="notEqual">
      <formula>$AF$19</formula>
    </cfRule>
  </conditionalFormatting>
  <conditionalFormatting sqref="N21">
    <cfRule type="cellIs" dxfId="65" priority="80" stopIfTrue="1" operator="notEqual">
      <formula>$AF$21</formula>
    </cfRule>
  </conditionalFormatting>
  <conditionalFormatting sqref="N23">
    <cfRule type="cellIs" dxfId="64" priority="81" stopIfTrue="1" operator="notEqual">
      <formula>$AF$23</formula>
    </cfRule>
  </conditionalFormatting>
  <conditionalFormatting sqref="N25">
    <cfRule type="cellIs" dxfId="63" priority="82" stopIfTrue="1" operator="notEqual">
      <formula>$AF$25</formula>
    </cfRule>
  </conditionalFormatting>
  <conditionalFormatting sqref="N27">
    <cfRule type="cellIs" dxfId="62" priority="83" stopIfTrue="1" operator="notEqual">
      <formula>$AF$27</formula>
    </cfRule>
  </conditionalFormatting>
  <conditionalFormatting sqref="B31:N31">
    <cfRule type="cellIs" dxfId="61" priority="84" stopIfTrue="1" operator="equal">
      <formula>$B$33</formula>
    </cfRule>
  </conditionalFormatting>
  <conditionalFormatting sqref="B43 B45 B39 B41 B47 B49 B51 B53">
    <cfRule type="cellIs" dxfId="60" priority="85" stopIfTrue="1" operator="equal">
      <formula>$U$23</formula>
    </cfRule>
  </conditionalFormatting>
  <conditionalFormatting sqref="F15">
    <cfRule type="cellIs" dxfId="59" priority="4" stopIfTrue="1" operator="notEqual">
      <formula>$X$15</formula>
    </cfRule>
  </conditionalFormatting>
  <conditionalFormatting sqref="H15">
    <cfRule type="cellIs" dxfId="58" priority="3" stopIfTrue="1" operator="notEqual">
      <formula>$Z$15</formula>
    </cfRule>
  </conditionalFormatting>
  <conditionalFormatting sqref="J15">
    <cfRule type="cellIs" dxfId="57" priority="2" stopIfTrue="1" operator="notEqual">
      <formula>$AB$15</formula>
    </cfRule>
  </conditionalFormatting>
  <conditionalFormatting sqref="L15">
    <cfRule type="cellIs" dxfId="56" priority="1" stopIfTrue="1" operator="notEqual">
      <formula>$AD$15</formula>
    </cfRule>
  </conditionalFormatting>
  <dataValidations count="1">
    <dataValidation type="decimal" allowBlank="1" showInputMessage="1" showErrorMessage="1" sqref="J23 N19 N13 N15 N17 N27 N25 N21 N23 V27 X13 X15 X17 Z19 AB27 X27 Z13 Z15 Z17 AB19 Z27 AB13 AB15 AB17 AD23 AD15 AD17 AD19 AD21 AF19 AD13 AF13 AF15 AF17 AF21 AF25 V25 V21 V23 X25 X21 X23 Z25 Z21 Z23 AB25 AB21 AB23 AD27 J19 L19 D19 D13 AF27 D15 D17 D27 D29 AF23 V19 V13 AD25 F19 J13 F13 F15 F17 F27 H19 F29 H13 H15 H17 H27 J15 H29 J17 J27 J25 J21 L13 J29 L15 L17 L27 L25 L29 L21 L23 D25 D21 D23 V15 V17 X19 F25 F21 F23 H25 H21 H23 N29 H51 H53 J51 L51 F51 D51 H49 H45 H47 L55 N55 F55 H39 H41 J53 L53 L49 L45 L47 F53 L39 H43 J49 F49 F45 L41 D53 F47 D49 F39 F41 H55 J55 J45 D45 D47 L43 D39 J47 F43 D41 D43 D55 J39 J41 J43 N51 N53 N49 N45 N47 N39 N41 N43">
      <formula1>0</formula1>
      <formula2>99999999.99</formula2>
    </dataValidation>
  </dataValidations>
  <pageMargins left="0.35433070866141736" right="0.27559055118110237" top="1.1417322834645669" bottom="0.98425196850393704" header="0.51181102362204722" footer="0.51181102362204722"/>
  <pageSetup scale="89" orientation="landscape" r:id="rId1"/>
  <headerFooter>
    <oddFooter xml:space="preserve">&amp;C&amp;"Arial,Italic"&amp;8&amp;A&amp;R&amp;"Arial,Italic"&amp;8Page &amp;P of &amp;N </oddFooter>
  </headerFooter>
  <ignoredErrors>
    <ignoredError sqref="F3" formulaRang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7"/>
  <sheetViews>
    <sheetView topLeftCell="A28" zoomScale="115" zoomScaleNormal="115" zoomScalePageLayoutView="115" workbookViewId="0">
      <selection activeCell="G40" sqref="G40"/>
    </sheetView>
  </sheetViews>
  <sheetFormatPr defaultColWidth="9.140625" defaultRowHeight="12.75" x14ac:dyDescent="0.2"/>
  <cols>
    <col min="1" max="1" width="3.140625" style="80" customWidth="1"/>
    <col min="2" max="2" width="0.85546875" style="44" customWidth="1"/>
    <col min="3" max="3" width="12.42578125" style="44" customWidth="1"/>
    <col min="4" max="4" width="0.85546875" style="44" customWidth="1"/>
    <col min="5" max="5" width="15.28515625" style="44" customWidth="1"/>
    <col min="6" max="6" width="0.85546875" style="44" customWidth="1"/>
    <col min="7" max="7" width="57.140625" style="44" customWidth="1"/>
    <col min="8" max="8" width="0.85546875" style="44" customWidth="1"/>
    <col min="9" max="9" width="10.42578125" style="44" customWidth="1"/>
    <col min="10" max="10" width="0.85546875" style="44" customWidth="1"/>
    <col min="11" max="11" width="12.42578125" style="44" customWidth="1"/>
    <col min="12" max="12" width="0.85546875" style="44" customWidth="1"/>
    <col min="13" max="13" width="19.28515625" style="44" customWidth="1"/>
    <col min="14" max="14" width="7.28515625" style="44" hidden="1" customWidth="1"/>
    <col min="15" max="15" width="14.85546875" style="79" hidden="1" customWidth="1"/>
    <col min="16" max="16" width="12.85546875" style="79" hidden="1" customWidth="1"/>
    <col min="17" max="17" width="11" style="79" hidden="1" customWidth="1"/>
    <col min="18" max="18" width="13.42578125" style="79" hidden="1" customWidth="1"/>
    <col min="19" max="19" width="9.140625" style="79" hidden="1" customWidth="1"/>
    <col min="20" max="20" width="10.42578125" style="79" hidden="1" customWidth="1"/>
    <col min="21" max="21" width="10.140625" style="79" hidden="1" customWidth="1"/>
    <col min="22" max="16384" width="9.140625" style="79"/>
  </cols>
  <sheetData>
    <row r="1" spans="1:21" ht="22.5" customHeight="1" x14ac:dyDescent="0.2">
      <c r="A1" s="738" t="s">
        <v>327</v>
      </c>
      <c r="B1" s="738"/>
      <c r="C1" s="738"/>
      <c r="D1" s="738"/>
      <c r="E1" s="738"/>
      <c r="F1" s="738"/>
      <c r="G1" s="738"/>
      <c r="H1" s="738"/>
      <c r="I1" s="738"/>
      <c r="J1" s="738"/>
      <c r="K1" s="738"/>
      <c r="L1" s="738"/>
      <c r="M1" s="738"/>
      <c r="N1" s="100"/>
      <c r="O1" s="134" t="s">
        <v>548</v>
      </c>
      <c r="P1" s="135" t="s">
        <v>63</v>
      </c>
      <c r="Q1" s="450"/>
      <c r="S1" s="451"/>
      <c r="T1" s="79" t="s">
        <v>168</v>
      </c>
    </row>
    <row r="2" spans="1:21" x14ac:dyDescent="0.2">
      <c r="O2" s="79" t="str">
        <f>CONCATENATE('1. General Data'!X2," - ",T('1. General Data'!Y2))</f>
        <v>LB - Letenye</v>
      </c>
      <c r="P2" s="79" t="s">
        <v>145</v>
      </c>
      <c r="R2" s="79" t="s">
        <v>152</v>
      </c>
      <c r="S2" s="355"/>
      <c r="T2" s="231" t="str">
        <f>LEFT(G3,5)</f>
        <v>2.1.1</v>
      </c>
      <c r="U2" s="320" t="s">
        <v>557</v>
      </c>
    </row>
    <row r="3" spans="1:21" x14ac:dyDescent="0.2">
      <c r="A3" s="605" t="str">
        <f>'1. General Data'!R12</f>
        <v>HUHR/1601/</v>
      </c>
      <c r="B3" s="605"/>
      <c r="C3" s="605"/>
      <c r="E3" s="17" t="s">
        <v>321</v>
      </c>
      <c r="G3" s="877" t="str">
        <f>T('1. General Data'!E25)</f>
        <v>2.1.1. Bicycle paths</v>
      </c>
      <c r="H3" s="878"/>
      <c r="I3" s="878"/>
      <c r="J3" s="878"/>
      <c r="K3" s="878"/>
      <c r="L3" s="878"/>
      <c r="M3" s="879"/>
      <c r="O3" s="79" t="str">
        <f>CONCATENATE('1. General Data'!X3," - ",T('1. General Data'!Y3))</f>
        <v>B1 - GP</v>
      </c>
      <c r="P3" s="79" t="s">
        <v>161</v>
      </c>
      <c r="Q3" s="3"/>
      <c r="R3" s="79" t="s">
        <v>151</v>
      </c>
      <c r="S3" s="355"/>
      <c r="T3" s="231">
        <f>IF(AND(C13&lt;&gt;"",E13&lt;&gt;"",I13&lt;&gt;""),A10,0)</f>
        <v>0</v>
      </c>
      <c r="U3" s="320" t="s">
        <v>32</v>
      </c>
    </row>
    <row r="4" spans="1:21" ht="3.75" customHeight="1" x14ac:dyDescent="0.2">
      <c r="O4" s="79" t="str">
        <f>CONCATENATE('1. General Data'!X4," - ",T('1. General Data'!Y4))</f>
        <v>B2 - Grad Ludbreg</v>
      </c>
      <c r="P4" s="79" t="s">
        <v>146</v>
      </c>
      <c r="Q4" s="3"/>
      <c r="S4" s="355"/>
      <c r="U4" s="320" t="s">
        <v>183</v>
      </c>
    </row>
    <row r="5" spans="1:21" ht="12.75" customHeight="1" x14ac:dyDescent="0.2">
      <c r="A5" s="642"/>
      <c r="B5" s="642"/>
      <c r="C5" s="642"/>
      <c r="D5" s="80"/>
      <c r="E5" s="462" t="s">
        <v>139</v>
      </c>
      <c r="F5" s="457"/>
      <c r="G5" s="877" t="str">
        <f>T('1. General Data'!C14)</f>
        <v>Happy Bike</v>
      </c>
      <c r="H5" s="890"/>
      <c r="I5" s="890"/>
      <c r="J5" s="890"/>
      <c r="K5" s="890"/>
      <c r="L5" s="890"/>
      <c r="M5" s="891"/>
      <c r="O5" s="79" t="str">
        <f>CONCATENATE('1. General Data'!X5," - ",T('1. General Data'!Y5))</f>
        <v>B3 - ŽUC Varaždin</v>
      </c>
      <c r="P5" s="79" t="s">
        <v>147</v>
      </c>
      <c r="Q5" s="3"/>
      <c r="U5" s="452"/>
    </row>
    <row r="6" spans="1:21" ht="3.75" customHeight="1" x14ac:dyDescent="0.2">
      <c r="E6" s="101"/>
      <c r="F6" s="101"/>
      <c r="G6" s="243"/>
      <c r="O6" s="79" t="str">
        <f>CONCATENATE('1. General Data'!X6," - ",T('1. General Data'!Y6))</f>
        <v>B4 - -</v>
      </c>
      <c r="P6" s="79" t="s">
        <v>148</v>
      </c>
      <c r="T6" s="322">
        <v>0</v>
      </c>
    </row>
    <row r="7" spans="1:21" x14ac:dyDescent="0.2">
      <c r="A7" s="79"/>
      <c r="B7" s="79"/>
      <c r="C7" s="79"/>
      <c r="D7" s="79"/>
      <c r="E7" s="79" t="s">
        <v>138</v>
      </c>
      <c r="F7" s="79"/>
      <c r="G7" s="877" t="str">
        <f>T('2. LB data'!C5)</f>
        <v>Letenye Város Önkormányzata</v>
      </c>
      <c r="H7" s="890"/>
      <c r="I7" s="890"/>
      <c r="J7" s="890"/>
      <c r="K7" s="890"/>
      <c r="L7" s="890"/>
      <c r="M7" s="891"/>
      <c r="O7" s="79" t="str">
        <f>CONCATENATE('1. General Data'!X7," - ",T('1. General Data'!Y7))</f>
        <v>B5 - -</v>
      </c>
    </row>
    <row r="8" spans="1:21" x14ac:dyDescent="0.2">
      <c r="A8" s="79"/>
      <c r="B8" s="79"/>
      <c r="C8" s="79"/>
      <c r="D8" s="79"/>
      <c r="E8" s="79"/>
      <c r="F8" s="79"/>
      <c r="G8" s="79"/>
      <c r="H8" s="79"/>
      <c r="I8" s="79"/>
      <c r="J8" s="79"/>
      <c r="K8" s="79"/>
      <c r="L8" s="79"/>
      <c r="M8" s="79"/>
      <c r="N8" s="114"/>
      <c r="O8" s="79" t="str">
        <f>CONCATENATE('1. General Data'!X8," - ",T('1. General Data'!Y8))</f>
        <v>B6 - -</v>
      </c>
    </row>
    <row r="9" spans="1:21" ht="3.75" customHeight="1" x14ac:dyDescent="0.2">
      <c r="A9" s="79"/>
      <c r="B9" s="79"/>
      <c r="C9" s="79"/>
      <c r="D9" s="79"/>
      <c r="E9" s="79"/>
      <c r="F9" s="79"/>
      <c r="G9" s="79"/>
      <c r="H9" s="79"/>
      <c r="I9" s="79"/>
      <c r="J9" s="79"/>
      <c r="K9" s="79"/>
      <c r="L9" s="79"/>
      <c r="M9" s="79"/>
      <c r="O9" s="79" t="str">
        <f>CONCATENATE('1. General Data'!X9," - ",T('1. General Data'!Y9))</f>
        <v>B7 - -</v>
      </c>
    </row>
    <row r="10" spans="1:21" ht="15.75" customHeight="1" x14ac:dyDescent="0.2">
      <c r="A10" s="886" t="s">
        <v>559</v>
      </c>
      <c r="B10" s="881"/>
      <c r="C10" s="881"/>
      <c r="D10" s="881"/>
      <c r="E10" s="881"/>
      <c r="F10" s="881"/>
      <c r="G10" s="881"/>
      <c r="H10" s="881"/>
      <c r="I10" s="881"/>
      <c r="J10" s="881"/>
      <c r="K10" s="881"/>
      <c r="L10" s="881"/>
      <c r="M10" s="882"/>
      <c r="O10" s="231">
        <f>IF(AND(OR(T2=U2,T2=U3,T2=U4,),(C13="")),A10,0)</f>
        <v>0</v>
      </c>
      <c r="T10" s="323">
        <f>IF(AND(O10=0,O15=0,O35=0),0,G6)</f>
        <v>0</v>
      </c>
    </row>
    <row r="11" spans="1:21" ht="51" customHeight="1" x14ac:dyDescent="0.2">
      <c r="A11" s="319"/>
      <c r="B11" s="318"/>
      <c r="C11" s="872" t="s">
        <v>558</v>
      </c>
      <c r="D11" s="873"/>
      <c r="E11" s="873"/>
      <c r="F11" s="873"/>
      <c r="G11" s="874"/>
      <c r="H11" s="120"/>
      <c r="I11" s="866" t="s">
        <v>547</v>
      </c>
      <c r="J11" s="871"/>
      <c r="K11" s="871"/>
      <c r="L11" s="871"/>
      <c r="M11" s="719"/>
      <c r="N11" s="114"/>
    </row>
    <row r="12" spans="1:21" ht="6" customHeight="1" x14ac:dyDescent="0.2">
      <c r="F12" s="104"/>
      <c r="K12" s="104"/>
    </row>
    <row r="13" spans="1:21" ht="167.25" customHeight="1" x14ac:dyDescent="0.2">
      <c r="A13" s="305"/>
      <c r="B13" s="116"/>
      <c r="C13" s="887" t="s">
        <v>1000</v>
      </c>
      <c r="D13" s="888"/>
      <c r="E13" s="888"/>
      <c r="F13" s="888"/>
      <c r="G13" s="889"/>
      <c r="I13" s="883" t="s">
        <v>1043</v>
      </c>
      <c r="J13" s="884"/>
      <c r="K13" s="884"/>
      <c r="L13" s="884"/>
      <c r="M13" s="885"/>
    </row>
    <row r="15" spans="1:21" ht="15.75" customHeight="1" x14ac:dyDescent="0.2">
      <c r="A15" s="880" t="s">
        <v>328</v>
      </c>
      <c r="B15" s="881"/>
      <c r="C15" s="881"/>
      <c r="D15" s="881"/>
      <c r="E15" s="881"/>
      <c r="F15" s="881"/>
      <c r="G15" s="881"/>
      <c r="H15" s="881"/>
      <c r="I15" s="881"/>
      <c r="J15" s="881"/>
      <c r="K15" s="881"/>
      <c r="L15" s="881"/>
      <c r="M15" s="882"/>
      <c r="O15" s="231">
        <f>IF(AND(T6&gt;0,O16&lt;1),A15,0)</f>
        <v>0</v>
      </c>
    </row>
    <row r="16" spans="1:21" ht="38.25" x14ac:dyDescent="0.2">
      <c r="A16" s="86" t="s">
        <v>144</v>
      </c>
      <c r="B16" s="120"/>
      <c r="C16" s="86" t="s">
        <v>346</v>
      </c>
      <c r="D16" s="120"/>
      <c r="E16" s="86" t="s">
        <v>324</v>
      </c>
      <c r="F16" s="129"/>
      <c r="G16" s="86" t="s">
        <v>325</v>
      </c>
      <c r="H16" s="120"/>
      <c r="I16" s="808" t="s">
        <v>326</v>
      </c>
      <c r="J16" s="871"/>
      <c r="K16" s="871"/>
      <c r="L16" s="871"/>
      <c r="M16" s="719"/>
      <c r="N16" s="114"/>
      <c r="O16" s="79">
        <f>SUM(O18:O32)</f>
        <v>6</v>
      </c>
    </row>
    <row r="17" spans="1:15" ht="6" customHeight="1" x14ac:dyDescent="0.2">
      <c r="F17" s="104"/>
      <c r="K17" s="104"/>
    </row>
    <row r="18" spans="1:15" ht="61.5" customHeight="1" x14ac:dyDescent="0.2">
      <c r="A18" s="49">
        <v>1</v>
      </c>
      <c r="B18" s="116"/>
      <c r="C18" s="139" t="s">
        <v>994</v>
      </c>
      <c r="D18" s="137"/>
      <c r="E18" s="141" t="s">
        <v>151</v>
      </c>
      <c r="F18" s="43"/>
      <c r="G18" s="509" t="s">
        <v>1050</v>
      </c>
      <c r="I18" s="660" t="s">
        <v>1048</v>
      </c>
      <c r="J18" s="875"/>
      <c r="K18" s="875"/>
      <c r="L18" s="875"/>
      <c r="M18" s="876"/>
      <c r="O18" s="79">
        <f>IF(AND(C18&lt;&gt;"",E18&lt;&gt;"",G18&lt;&gt;"",I18&lt;&gt;""),1,0)</f>
        <v>1</v>
      </c>
    </row>
    <row r="19" spans="1:15" ht="6" customHeight="1" x14ac:dyDescent="0.2">
      <c r="F19" s="104"/>
      <c r="K19" s="104"/>
    </row>
    <row r="20" spans="1:15" ht="61.5" customHeight="1" x14ac:dyDescent="0.2">
      <c r="A20" s="49">
        <v>2</v>
      </c>
      <c r="B20" s="116"/>
      <c r="C20" s="139" t="s">
        <v>994</v>
      </c>
      <c r="D20" s="137"/>
      <c r="E20" s="141" t="s">
        <v>151</v>
      </c>
      <c r="F20" s="43"/>
      <c r="G20" s="509" t="s">
        <v>1052</v>
      </c>
      <c r="I20" s="660" t="s">
        <v>1049</v>
      </c>
      <c r="J20" s="875"/>
      <c r="K20" s="875"/>
      <c r="L20" s="875"/>
      <c r="M20" s="876"/>
      <c r="O20" s="79">
        <f>IF(AND(C20&lt;&gt;"",E20&lt;&gt;"",G20&lt;&gt;"",I20&lt;&gt;""),1,0)</f>
        <v>1</v>
      </c>
    </row>
    <row r="21" spans="1:15" ht="6" customHeight="1" x14ac:dyDescent="0.2">
      <c r="F21" s="104"/>
      <c r="K21" s="104"/>
    </row>
    <row r="22" spans="1:15" ht="61.5" customHeight="1" x14ac:dyDescent="0.2">
      <c r="A22" s="49">
        <v>3</v>
      </c>
      <c r="B22" s="116"/>
      <c r="C22" s="530" t="s">
        <v>994</v>
      </c>
      <c r="D22" s="137"/>
      <c r="E22" s="141" t="s">
        <v>151</v>
      </c>
      <c r="F22" s="43"/>
      <c r="G22" s="509" t="s">
        <v>1051</v>
      </c>
      <c r="I22" s="660" t="s">
        <v>1047</v>
      </c>
      <c r="J22" s="875"/>
      <c r="K22" s="875"/>
      <c r="L22" s="875"/>
      <c r="M22" s="876"/>
      <c r="O22" s="79">
        <f>IF(AND(C22&lt;&gt;"",E22&lt;&gt;"",G22&lt;&gt;"",I22&lt;&gt;""),1,0)</f>
        <v>1</v>
      </c>
    </row>
    <row r="23" spans="1:15" ht="6" customHeight="1" x14ac:dyDescent="0.2">
      <c r="F23" s="104"/>
      <c r="K23" s="104"/>
    </row>
    <row r="24" spans="1:15" ht="61.5" customHeight="1" x14ac:dyDescent="0.2">
      <c r="A24" s="49">
        <v>4</v>
      </c>
      <c r="B24" s="116"/>
      <c r="C24" s="139" t="s">
        <v>1007</v>
      </c>
      <c r="D24" s="137"/>
      <c r="E24" s="141" t="s">
        <v>151</v>
      </c>
      <c r="F24" s="43"/>
      <c r="G24" s="218" t="s">
        <v>1008</v>
      </c>
      <c r="I24" s="652" t="s">
        <v>1009</v>
      </c>
      <c r="J24" s="875"/>
      <c r="K24" s="875"/>
      <c r="L24" s="875"/>
      <c r="M24" s="876"/>
      <c r="O24" s="79">
        <f>IF(AND(C24&lt;&gt;"",E24&lt;&gt;"",G24&lt;&gt;"",I24&lt;&gt;""),1,0)</f>
        <v>1</v>
      </c>
    </row>
    <row r="25" spans="1:15" ht="6" customHeight="1" x14ac:dyDescent="0.2">
      <c r="F25" s="104"/>
      <c r="K25" s="104"/>
    </row>
    <row r="26" spans="1:15" ht="61.5" customHeight="1" x14ac:dyDescent="0.2">
      <c r="A26" s="49">
        <v>5</v>
      </c>
      <c r="B26" s="116"/>
      <c r="C26" s="139" t="s">
        <v>1014</v>
      </c>
      <c r="D26" s="137"/>
      <c r="E26" s="141" t="s">
        <v>151</v>
      </c>
      <c r="F26" s="43"/>
      <c r="G26" s="509" t="s">
        <v>1015</v>
      </c>
      <c r="I26" s="660" t="s">
        <v>1016</v>
      </c>
      <c r="J26" s="875"/>
      <c r="K26" s="875"/>
      <c r="L26" s="875"/>
      <c r="M26" s="876"/>
      <c r="O26" s="79">
        <f>IF(AND(C26&lt;&gt;"",E26&lt;&gt;"",G26&lt;&gt;"",I26&lt;&gt;""),1,0)</f>
        <v>1</v>
      </c>
    </row>
    <row r="27" spans="1:15" ht="6" customHeight="1" x14ac:dyDescent="0.2">
      <c r="F27" s="104"/>
      <c r="K27" s="104"/>
    </row>
    <row r="28" spans="1:15" ht="61.5" customHeight="1" x14ac:dyDescent="0.2">
      <c r="A28" s="49">
        <v>6</v>
      </c>
      <c r="B28" s="116"/>
      <c r="C28" s="139" t="s">
        <v>1017</v>
      </c>
      <c r="D28" s="137"/>
      <c r="E28" s="141" t="s">
        <v>152</v>
      </c>
      <c r="F28" s="43"/>
      <c r="G28" s="552" t="s">
        <v>1100</v>
      </c>
      <c r="I28" s="660" t="s">
        <v>1018</v>
      </c>
      <c r="J28" s="875"/>
      <c r="K28" s="875"/>
      <c r="L28" s="875"/>
      <c r="M28" s="876"/>
      <c r="O28" s="79">
        <f>IF(AND(C28&lt;&gt;"",E28&lt;&gt;"",G28&lt;&gt;"",I28&lt;&gt;""),1,0)</f>
        <v>1</v>
      </c>
    </row>
    <row r="29" spans="1:15" ht="6" customHeight="1" x14ac:dyDescent="0.2">
      <c r="F29" s="104"/>
      <c r="K29" s="104"/>
    </row>
    <row r="30" spans="1:15" ht="61.5" customHeight="1" x14ac:dyDescent="0.2">
      <c r="A30" s="49">
        <v>7</v>
      </c>
      <c r="B30" s="116"/>
      <c r="C30" s="139"/>
      <c r="D30" s="137"/>
      <c r="E30" s="141"/>
      <c r="F30" s="43"/>
      <c r="G30" s="218"/>
      <c r="I30" s="660"/>
      <c r="J30" s="875"/>
      <c r="K30" s="875"/>
      <c r="L30" s="875"/>
      <c r="M30" s="876"/>
      <c r="O30" s="79">
        <f>IF(AND(C30&lt;&gt;"",E30&lt;&gt;"",G30&lt;&gt;"",I30&lt;&gt;""),1,0)</f>
        <v>0</v>
      </c>
    </row>
    <row r="31" spans="1:15" ht="6" customHeight="1" x14ac:dyDescent="0.2">
      <c r="F31" s="104"/>
      <c r="K31" s="104"/>
    </row>
    <row r="32" spans="1:15" ht="61.5" customHeight="1" x14ac:dyDescent="0.2">
      <c r="A32" s="49">
        <v>8</v>
      </c>
      <c r="B32" s="116"/>
      <c r="C32" s="139"/>
      <c r="D32" s="137"/>
      <c r="E32" s="141"/>
      <c r="F32" s="43"/>
      <c r="G32" s="140"/>
      <c r="I32" s="892"/>
      <c r="J32" s="875"/>
      <c r="K32" s="875"/>
      <c r="L32" s="875"/>
      <c r="M32" s="876"/>
      <c r="O32" s="79">
        <f>IF(AND(C32&lt;&gt;"",E32&lt;&gt;"",G32&lt;&gt;"",I32&lt;&gt;""),1,0)</f>
        <v>0</v>
      </c>
    </row>
    <row r="33" spans="1:15" ht="16.5" customHeight="1" x14ac:dyDescent="0.2"/>
    <row r="34" spans="1:15" hidden="1" x14ac:dyDescent="0.2"/>
    <row r="35" spans="1:15" ht="15.75" customHeight="1" x14ac:dyDescent="0.2">
      <c r="A35" s="880" t="s">
        <v>329</v>
      </c>
      <c r="B35" s="881"/>
      <c r="C35" s="881"/>
      <c r="D35" s="881"/>
      <c r="E35" s="881"/>
      <c r="F35" s="881"/>
      <c r="G35" s="881"/>
      <c r="H35" s="881"/>
      <c r="I35" s="881"/>
      <c r="J35" s="881"/>
      <c r="K35" s="881"/>
      <c r="L35" s="881"/>
      <c r="M35" s="882"/>
      <c r="O35" s="231">
        <f>IF(AND(T6&gt;0,O36&lt;1),A35,0)</f>
        <v>0</v>
      </c>
    </row>
    <row r="36" spans="1:15" ht="51" x14ac:dyDescent="0.2">
      <c r="A36" s="86" t="s">
        <v>144</v>
      </c>
      <c r="B36" s="120"/>
      <c r="C36" s="86" t="s">
        <v>346</v>
      </c>
      <c r="D36" s="120"/>
      <c r="E36" s="136" t="s">
        <v>63</v>
      </c>
      <c r="F36" s="129"/>
      <c r="G36" s="86" t="s">
        <v>645</v>
      </c>
      <c r="H36" s="120"/>
      <c r="I36" s="86" t="s">
        <v>77</v>
      </c>
      <c r="J36" s="120"/>
      <c r="K36" s="86" t="s">
        <v>27</v>
      </c>
      <c r="L36" s="77"/>
      <c r="M36" s="86" t="s">
        <v>149</v>
      </c>
      <c r="N36" s="114"/>
      <c r="O36" s="79">
        <f>SUM(O38:O56)</f>
        <v>0</v>
      </c>
    </row>
    <row r="37" spans="1:15" ht="6" customHeight="1" x14ac:dyDescent="0.2">
      <c r="E37" s="104"/>
      <c r="F37" s="104"/>
    </row>
    <row r="38" spans="1:15" ht="38.25" customHeight="1" x14ac:dyDescent="0.2">
      <c r="A38" s="49">
        <v>1</v>
      </c>
      <c r="B38" s="116"/>
      <c r="C38" s="139" t="s">
        <v>1017</v>
      </c>
      <c r="D38" s="137"/>
      <c r="E38" s="139" t="s">
        <v>145</v>
      </c>
      <c r="F38" s="43"/>
      <c r="G38" s="218" t="s">
        <v>1067</v>
      </c>
      <c r="H38" s="16"/>
      <c r="I38" s="486"/>
      <c r="J38" s="17"/>
      <c r="K38" s="486" t="s">
        <v>1068</v>
      </c>
      <c r="L38" s="17"/>
      <c r="M38" s="487" t="s">
        <v>1069</v>
      </c>
      <c r="O38" s="79">
        <f>IF(AND(C38&lt;&gt;"",E38&lt;&gt;"",G38&lt;&gt;"",I38&lt;&gt;"",K38&lt;&gt;"",M38&lt;&gt;""),1,0)</f>
        <v>0</v>
      </c>
    </row>
    <row r="39" spans="1:15" ht="6" customHeight="1" x14ac:dyDescent="0.2">
      <c r="A39" s="138"/>
      <c r="B39" s="116"/>
      <c r="C39" s="137"/>
      <c r="D39" s="137"/>
      <c r="E39" s="137"/>
      <c r="F39" s="104"/>
      <c r="G39" s="12"/>
      <c r="H39" s="16"/>
      <c r="I39" s="17"/>
      <c r="J39" s="17"/>
      <c r="K39" s="17"/>
      <c r="L39" s="17"/>
      <c r="M39" s="17"/>
    </row>
    <row r="40" spans="1:15" ht="38.25" customHeight="1" x14ac:dyDescent="0.2">
      <c r="A40" s="49">
        <v>2</v>
      </c>
      <c r="B40" s="116"/>
      <c r="C40" s="84" t="s">
        <v>1017</v>
      </c>
      <c r="D40" s="137"/>
      <c r="E40" s="84" t="s">
        <v>145</v>
      </c>
      <c r="F40" s="104"/>
      <c r="G40" s="552" t="s">
        <v>1099</v>
      </c>
      <c r="H40" s="16"/>
      <c r="I40" s="486"/>
      <c r="J40" s="17"/>
      <c r="K40" s="486" t="s">
        <v>1068</v>
      </c>
      <c r="L40" s="17"/>
      <c r="M40" s="488" t="s">
        <v>1070</v>
      </c>
      <c r="O40" s="79">
        <f>IF(AND(C40&lt;&gt;"",E40&lt;&gt;"",G40&lt;&gt;"",I40&lt;&gt;"",K40&lt;&gt;"",M40&lt;&gt;""),1,0)</f>
        <v>0</v>
      </c>
    </row>
    <row r="41" spans="1:15" ht="6" customHeight="1" x14ac:dyDescent="0.2">
      <c r="A41" s="138"/>
      <c r="B41" s="116"/>
      <c r="C41" s="137"/>
      <c r="D41" s="137"/>
      <c r="E41" s="137"/>
      <c r="F41" s="104"/>
      <c r="G41" s="12"/>
      <c r="H41" s="16"/>
      <c r="I41" s="17"/>
      <c r="J41" s="17"/>
      <c r="K41" s="17"/>
      <c r="L41" s="17"/>
      <c r="M41" s="17"/>
    </row>
    <row r="42" spans="1:15" ht="38.25" customHeight="1" x14ac:dyDescent="0.2">
      <c r="A42" s="49">
        <v>3</v>
      </c>
      <c r="B42" s="116"/>
      <c r="C42" s="84"/>
      <c r="D42" s="137"/>
      <c r="E42" s="84"/>
      <c r="F42" s="104"/>
      <c r="G42" s="218"/>
      <c r="H42" s="16"/>
      <c r="I42" s="486"/>
      <c r="J42" s="17"/>
      <c r="K42" s="486"/>
      <c r="L42" s="17"/>
      <c r="M42" s="488"/>
      <c r="O42" s="79">
        <f>IF(AND(C42&lt;&gt;"",E42&lt;&gt;"",G42&lt;&gt;"",I42&lt;&gt;"",K42&lt;&gt;"",M42&lt;&gt;""),1,0)</f>
        <v>0</v>
      </c>
    </row>
    <row r="43" spans="1:15" ht="6" customHeight="1" x14ac:dyDescent="0.2">
      <c r="A43" s="138"/>
      <c r="B43" s="116"/>
      <c r="C43" s="137"/>
      <c r="D43" s="137"/>
      <c r="E43" s="137"/>
      <c r="F43" s="104"/>
      <c r="G43" s="12"/>
      <c r="H43" s="16"/>
      <c r="I43" s="17"/>
      <c r="J43" s="17"/>
      <c r="K43" s="17"/>
      <c r="L43" s="17"/>
      <c r="M43" s="17"/>
    </row>
    <row r="44" spans="1:15" ht="38.25" customHeight="1" x14ac:dyDescent="0.2">
      <c r="A44" s="49">
        <v>4</v>
      </c>
      <c r="B44" s="116"/>
      <c r="C44" s="84"/>
      <c r="D44" s="137"/>
      <c r="E44" s="84"/>
      <c r="F44" s="104"/>
      <c r="G44" s="218"/>
      <c r="H44" s="16"/>
      <c r="I44" s="486"/>
      <c r="J44" s="17"/>
      <c r="K44" s="486"/>
      <c r="L44" s="17"/>
      <c r="M44" s="488"/>
      <c r="O44" s="79">
        <f>IF(AND(C44&lt;&gt;"",E44&lt;&gt;"",G44&lt;&gt;"",I44&lt;&gt;"",K44&lt;&gt;"",M44&lt;&gt;""),1,0)</f>
        <v>0</v>
      </c>
    </row>
    <row r="45" spans="1:15" ht="6" customHeight="1" x14ac:dyDescent="0.2">
      <c r="A45" s="138"/>
      <c r="B45" s="116"/>
      <c r="C45" s="137"/>
      <c r="D45" s="137"/>
      <c r="E45" s="137"/>
      <c r="F45" s="104"/>
      <c r="G45" s="12"/>
      <c r="H45" s="16"/>
      <c r="I45" s="17"/>
      <c r="J45" s="17"/>
      <c r="K45" s="17"/>
      <c r="L45" s="17"/>
      <c r="M45" s="17"/>
    </row>
    <row r="46" spans="1:15" ht="38.25" customHeight="1" x14ac:dyDescent="0.2">
      <c r="A46" s="49">
        <v>5</v>
      </c>
      <c r="B46" s="116"/>
      <c r="C46" s="84"/>
      <c r="D46" s="137"/>
      <c r="E46" s="84"/>
      <c r="F46" s="104"/>
      <c r="G46" s="218"/>
      <c r="H46" s="16"/>
      <c r="I46" s="486"/>
      <c r="J46" s="17"/>
      <c r="K46" s="486"/>
      <c r="L46" s="17"/>
      <c r="M46" s="488"/>
      <c r="O46" s="79">
        <f>IF(AND(C46&lt;&gt;"",E46&lt;&gt;"",G46&lt;&gt;"",I46&lt;&gt;"",K46&lt;&gt;"",M46&lt;&gt;""),1,0)</f>
        <v>0</v>
      </c>
    </row>
    <row r="47" spans="1:15" ht="6" customHeight="1" x14ac:dyDescent="0.2">
      <c r="A47" s="138"/>
      <c r="B47" s="116"/>
      <c r="C47" s="137"/>
      <c r="D47" s="137"/>
      <c r="E47" s="137"/>
      <c r="F47" s="104"/>
      <c r="G47" s="12"/>
      <c r="H47" s="16"/>
      <c r="I47" s="17"/>
      <c r="J47" s="17"/>
      <c r="K47" s="17"/>
      <c r="L47" s="17"/>
      <c r="M47" s="17"/>
    </row>
    <row r="48" spans="1:15" ht="38.25" customHeight="1" x14ac:dyDescent="0.2">
      <c r="A48" s="49">
        <v>6</v>
      </c>
      <c r="B48" s="116"/>
      <c r="C48" s="84"/>
      <c r="D48" s="137"/>
      <c r="E48" s="84"/>
      <c r="F48" s="104"/>
      <c r="G48" s="218"/>
      <c r="H48" s="16"/>
      <c r="I48" s="486"/>
      <c r="J48" s="17"/>
      <c r="K48" s="486"/>
      <c r="L48" s="17"/>
      <c r="M48" s="488"/>
      <c r="O48" s="79">
        <f>IF(AND(C48&lt;&gt;"",E48&lt;&gt;"",G48&lt;&gt;"",I48&lt;&gt;"",K48&lt;&gt;"",M48&lt;&gt;""),1,0)</f>
        <v>0</v>
      </c>
    </row>
    <row r="49" spans="1:15" ht="6" customHeight="1" x14ac:dyDescent="0.2">
      <c r="A49" s="138"/>
      <c r="B49" s="116"/>
      <c r="C49" s="137"/>
      <c r="D49" s="137"/>
      <c r="E49" s="137"/>
      <c r="F49" s="104"/>
      <c r="G49" s="12"/>
      <c r="H49" s="16"/>
      <c r="I49" s="17"/>
      <c r="J49" s="17"/>
      <c r="K49" s="17"/>
      <c r="L49" s="17"/>
      <c r="M49" s="17"/>
    </row>
    <row r="50" spans="1:15" ht="38.25" customHeight="1" x14ac:dyDescent="0.2">
      <c r="A50" s="49">
        <v>7</v>
      </c>
      <c r="B50" s="116"/>
      <c r="C50" s="139"/>
      <c r="D50" s="137"/>
      <c r="E50" s="139"/>
      <c r="F50" s="43"/>
      <c r="G50" s="218"/>
      <c r="H50" s="16"/>
      <c r="I50" s="486"/>
      <c r="J50" s="17"/>
      <c r="K50" s="486"/>
      <c r="L50" s="17"/>
      <c r="M50" s="488"/>
      <c r="O50" s="79">
        <f>IF(AND(C50&lt;&gt;"",E50&lt;&gt;"",G50&lt;&gt;"",I50&lt;&gt;"",K50&lt;&gt;"",M50&lt;&gt;""),1,0)</f>
        <v>0</v>
      </c>
    </row>
    <row r="51" spans="1:15" ht="6" customHeight="1" x14ac:dyDescent="0.2">
      <c r="A51" s="138"/>
      <c r="B51" s="116"/>
      <c r="C51" s="137"/>
      <c r="D51" s="137"/>
      <c r="E51" s="137"/>
      <c r="F51" s="104"/>
      <c r="G51" s="12"/>
      <c r="H51" s="16"/>
      <c r="I51" s="17"/>
      <c r="J51" s="17"/>
      <c r="K51" s="17"/>
      <c r="L51" s="17"/>
      <c r="M51" s="17"/>
    </row>
    <row r="52" spans="1:15" ht="38.25" customHeight="1" x14ac:dyDescent="0.2">
      <c r="A52" s="49">
        <v>8</v>
      </c>
      <c r="B52" s="116"/>
      <c r="C52" s="84"/>
      <c r="D52" s="137"/>
      <c r="E52" s="84"/>
      <c r="F52" s="104"/>
      <c r="G52" s="218"/>
      <c r="H52" s="16"/>
      <c r="I52" s="486"/>
      <c r="J52" s="17"/>
      <c r="K52" s="486"/>
      <c r="L52" s="17"/>
      <c r="M52" s="488"/>
      <c r="O52" s="79">
        <f>IF(AND(C52&lt;&gt;"",E52&lt;&gt;"",G52&lt;&gt;"",I52&lt;&gt;"",K52&lt;&gt;"",M52&lt;&gt;""),1,0)</f>
        <v>0</v>
      </c>
    </row>
    <row r="53" spans="1:15" ht="6" customHeight="1" x14ac:dyDescent="0.2">
      <c r="A53" s="138"/>
      <c r="B53" s="116"/>
      <c r="C53" s="137"/>
      <c r="D53" s="137"/>
      <c r="E53" s="137"/>
      <c r="F53" s="104"/>
      <c r="G53" s="12"/>
      <c r="H53" s="16"/>
      <c r="I53" s="17"/>
      <c r="J53" s="17"/>
      <c r="K53" s="17"/>
      <c r="L53" s="17"/>
      <c r="M53" s="17"/>
    </row>
    <row r="54" spans="1:15" ht="38.25" customHeight="1" x14ac:dyDescent="0.2">
      <c r="A54" s="49">
        <v>9</v>
      </c>
      <c r="B54" s="116"/>
      <c r="C54" s="84"/>
      <c r="D54" s="137"/>
      <c r="E54" s="84"/>
      <c r="F54" s="104"/>
      <c r="G54" s="218"/>
      <c r="H54" s="16"/>
      <c r="I54" s="486"/>
      <c r="J54" s="17"/>
      <c r="K54" s="486"/>
      <c r="L54" s="17"/>
      <c r="M54" s="488"/>
      <c r="O54" s="79">
        <f>IF(AND(C54&lt;&gt;"",E54&lt;&gt;"",G54&lt;&gt;"",I54&lt;&gt;"",K54&lt;&gt;"",M54&lt;&gt;""),1,0)</f>
        <v>0</v>
      </c>
    </row>
    <row r="55" spans="1:15" ht="6" customHeight="1" x14ac:dyDescent="0.2">
      <c r="A55" s="138"/>
      <c r="B55" s="116"/>
      <c r="C55" s="137"/>
      <c r="D55" s="137"/>
      <c r="E55" s="137"/>
      <c r="F55" s="104"/>
      <c r="G55" s="12"/>
      <c r="H55" s="16"/>
      <c r="I55" s="17"/>
      <c r="J55" s="17"/>
      <c r="K55" s="17"/>
      <c r="L55" s="17"/>
      <c r="M55" s="17"/>
    </row>
    <row r="56" spans="1:15" ht="38.25" customHeight="1" x14ac:dyDescent="0.2">
      <c r="A56" s="49">
        <v>10</v>
      </c>
      <c r="B56" s="116"/>
      <c r="C56" s="84"/>
      <c r="D56" s="137"/>
      <c r="E56" s="84"/>
      <c r="F56" s="104"/>
      <c r="G56" s="218"/>
      <c r="H56" s="16"/>
      <c r="I56" s="486"/>
      <c r="J56" s="17"/>
      <c r="K56" s="486"/>
      <c r="L56" s="17"/>
      <c r="M56" s="488"/>
      <c r="O56" s="79">
        <f>IF(AND(C56&lt;&gt;"",E56&lt;&gt;"",G56&lt;&gt;"",I56&lt;&gt;"",K56&lt;&gt;"",M56&lt;&gt;""),1,0)</f>
        <v>0</v>
      </c>
    </row>
    <row r="57" spans="1:15" ht="6" customHeight="1" x14ac:dyDescent="0.2">
      <c r="A57" s="138"/>
      <c r="B57" s="116"/>
      <c r="C57" s="137"/>
      <c r="D57" s="137"/>
      <c r="E57" s="137"/>
      <c r="F57" s="104"/>
      <c r="G57" s="78"/>
      <c r="I57" s="114"/>
      <c r="J57" s="114"/>
      <c r="K57" s="114"/>
      <c r="L57" s="114"/>
      <c r="M57" s="116"/>
    </row>
  </sheetData>
  <sheetProtection password="F58B" sheet="1" objects="1" scenarios="1" formatCells="0" selectLockedCells="1"/>
  <mergeCells count="22">
    <mergeCell ref="I32:M32"/>
    <mergeCell ref="A35:M35"/>
    <mergeCell ref="I18:M18"/>
    <mergeCell ref="I20:M20"/>
    <mergeCell ref="I22:M22"/>
    <mergeCell ref="I24:M24"/>
    <mergeCell ref="I30:M30"/>
    <mergeCell ref="I11:M11"/>
    <mergeCell ref="C11:G11"/>
    <mergeCell ref="I26:M26"/>
    <mergeCell ref="I28:M28"/>
    <mergeCell ref="A1:M1"/>
    <mergeCell ref="A3:C3"/>
    <mergeCell ref="G3:M3"/>
    <mergeCell ref="A15:M15"/>
    <mergeCell ref="I16:M16"/>
    <mergeCell ref="I13:M13"/>
    <mergeCell ref="A5:C5"/>
    <mergeCell ref="A10:M10"/>
    <mergeCell ref="C13:G13"/>
    <mergeCell ref="G5:M5"/>
    <mergeCell ref="G7:M7"/>
  </mergeCells>
  <phoneticPr fontId="3" type="noConversion"/>
  <conditionalFormatting sqref="A10:M10">
    <cfRule type="cellIs" dxfId="55" priority="1" stopIfTrue="1" operator="equal">
      <formula>$O$10</formula>
    </cfRule>
    <cfRule type="cellIs" dxfId="54" priority="2" stopIfTrue="1" operator="equal">
      <formula>$T$3</formula>
    </cfRule>
  </conditionalFormatting>
  <conditionalFormatting sqref="A35:M35">
    <cfRule type="cellIs" dxfId="53" priority="3" stopIfTrue="1" operator="equal">
      <formula>$O$35</formula>
    </cfRule>
  </conditionalFormatting>
  <conditionalFormatting sqref="A15:M15">
    <cfRule type="cellIs" dxfId="52" priority="4" stopIfTrue="1" operator="equal">
      <formula>$O$15</formula>
    </cfRule>
  </conditionalFormatting>
  <conditionalFormatting sqref="G6">
    <cfRule type="cellIs" dxfId="51" priority="5" stopIfTrue="1" operator="equal">
      <formula>$T$10</formula>
    </cfRule>
  </conditionalFormatting>
  <dataValidations count="9">
    <dataValidation type="list" allowBlank="1" showInputMessage="1" showErrorMessage="1" sqref="C40 C18 C20 C22 C24 C26 C28 C30 C32 C38 C56 C54 C52 C50 C48 C46 C44 C42">
      <formula1>$O$2:$O$9</formula1>
    </dataValidation>
    <dataValidation type="list" allowBlank="1" showInputMessage="1" showErrorMessage="1" sqref="E38 E56 E54 E52 E50 E48 E46 E44 E42 E40">
      <formula1>$P$2:$P$6</formula1>
    </dataValidation>
    <dataValidation type="textLength" operator="lessThanOrEqual" allowBlank="1" showInputMessage="1" showErrorMessage="1" sqref="I13:M13">
      <formula1>500</formula1>
    </dataValidation>
    <dataValidation type="textLength" operator="lessThanOrEqual" allowBlank="1" showInputMessage="1" showErrorMessage="1" sqref="M38 M40 M42 M44 M46 M48 M50 M52 M54 M56">
      <formula1>60</formula1>
    </dataValidation>
    <dataValidation type="textLength" operator="lessThanOrEqual" allowBlank="1" showInputMessage="1" showErrorMessage="1" sqref="G32 G30 G28 G26 G24 G22 G20 G18 I18:M18 I20:M20 I22:M22 I24:M24 I26:M26 I28:M28 I30:M30 I32:M32">
      <formula1>250</formula1>
    </dataValidation>
    <dataValidation type="textLength" operator="lessThanOrEqual" allowBlank="1" showInputMessage="1" showErrorMessage="1" sqref="G38 G40 G42 G44 G46 G48 G50 G52 G54 G56">
      <formula1>180</formula1>
    </dataValidation>
    <dataValidation type="list" allowBlank="1" showInputMessage="1" showErrorMessage="1" sqref="E18 E20 E22 E24 E26 E28 E30 E32">
      <formula1>$R$2:$R$3</formula1>
    </dataValidation>
    <dataValidation type="textLength" operator="lessThan" allowBlank="1" showInputMessage="1" showErrorMessage="1" sqref="C13:G13">
      <formula1>1200</formula1>
    </dataValidation>
    <dataValidation type="textLength" operator="lessThanOrEqual" allowBlank="1" showInputMessage="1" showErrorMessage="1" sqref="I38 K38 I40 K40 I42 K42 I44 K44 I46 K46 I48 K48 I50 K50 I52 K52 I54 K54 I56 K56">
      <formula1>30</formula1>
    </dataValidation>
  </dataValidations>
  <pageMargins left="0.35433070866141736" right="0.19685039370078741" top="0.78740157480314965" bottom="0.31496062992125984" header="0.23622047244094491" footer="0.11811023622047245"/>
  <pageSetup scale="92" fitToHeight="4" orientation="landscape" r:id="rId1"/>
  <headerFooter>
    <oddFooter xml:space="preserve">&amp;C&amp;"Arial,Italic"&amp;8&amp;A&amp;R&amp;"Arial,Italic"&amp;8Page &amp;P of &amp;N </oddFooter>
  </headerFooter>
  <rowBreaks count="2" manualBreakCount="2">
    <brk id="18" max="12" man="1"/>
    <brk id="33" max="12"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workbookViewId="0">
      <selection activeCell="C46" sqref="C46"/>
    </sheetView>
  </sheetViews>
  <sheetFormatPr defaultColWidth="9.140625" defaultRowHeight="12.75" x14ac:dyDescent="0.2"/>
  <cols>
    <col min="1" max="1" width="38.7109375" style="383" customWidth="1"/>
    <col min="2" max="2" width="0.42578125" style="383" customWidth="1"/>
    <col min="3" max="3" width="85.42578125" style="383" customWidth="1"/>
    <col min="4" max="4" width="0.42578125" style="383" customWidth="1"/>
    <col min="5" max="5" width="38.7109375" style="383" customWidth="1"/>
    <col min="6" max="9" width="9.140625" style="381" hidden="1" customWidth="1"/>
    <col min="10" max="16384" width="9.140625" style="381"/>
  </cols>
  <sheetData>
    <row r="1" spans="1:9" ht="25.5" x14ac:dyDescent="0.2">
      <c r="A1" s="896" t="s">
        <v>363</v>
      </c>
      <c r="B1" s="896"/>
      <c r="C1" s="896"/>
      <c r="D1" s="896"/>
      <c r="E1" s="896"/>
      <c r="G1" s="458" t="str">
        <f>T('1. General Data'!J3:O3)</f>
        <v>HUHR/1601/</v>
      </c>
      <c r="H1" s="459"/>
      <c r="I1" s="459"/>
    </row>
    <row r="2" spans="1:9" x14ac:dyDescent="0.2">
      <c r="G2" s="108"/>
      <c r="I2" s="384"/>
    </row>
    <row r="3" spans="1:9" x14ac:dyDescent="0.2">
      <c r="A3" s="386" t="str">
        <f>CONCATENATE(T('1. General Data'!R12),"          Component:")</f>
        <v>HUHR/1601/          Component:</v>
      </c>
      <c r="C3" s="460" t="str">
        <f>T('1. General Data'!E25)</f>
        <v>2.1.1. Bicycle paths</v>
      </c>
      <c r="E3" s="461"/>
      <c r="I3" s="384"/>
    </row>
    <row r="4" spans="1:9" ht="3.75" customHeight="1" x14ac:dyDescent="0.2">
      <c r="I4" s="384"/>
    </row>
    <row r="5" spans="1:9" x14ac:dyDescent="0.2">
      <c r="A5" s="386" t="s">
        <v>139</v>
      </c>
      <c r="C5" s="460" t="str">
        <f>T('1. General Data'!C14)</f>
        <v>Happy Bike</v>
      </c>
      <c r="E5" s="461"/>
      <c r="I5" s="384"/>
    </row>
    <row r="6" spans="1:9" ht="3.75" customHeight="1" x14ac:dyDescent="0.2">
      <c r="A6" s="386"/>
      <c r="I6" s="384"/>
    </row>
    <row r="7" spans="1:9" x14ac:dyDescent="0.2">
      <c r="A7" s="386" t="s">
        <v>138</v>
      </c>
      <c r="C7" s="460" t="str">
        <f>T('2. LB data'!C5:F5)</f>
        <v>Letenye Város Önkormányzata</v>
      </c>
      <c r="E7" s="461"/>
      <c r="I7" s="384"/>
    </row>
    <row r="8" spans="1:9" ht="3.75" customHeight="1" x14ac:dyDescent="0.2">
      <c r="A8" s="387"/>
      <c r="I8" s="384"/>
    </row>
    <row r="9" spans="1:9" ht="93" customHeight="1" x14ac:dyDescent="0.2">
      <c r="A9" s="897" t="s">
        <v>653</v>
      </c>
      <c r="B9" s="897"/>
      <c r="C9" s="897"/>
      <c r="D9" s="897"/>
      <c r="E9" s="897"/>
      <c r="I9" s="384"/>
    </row>
    <row r="10" spans="1:9" ht="93" customHeight="1" x14ac:dyDescent="0.2">
      <c r="A10" s="895" t="s">
        <v>581</v>
      </c>
      <c r="B10" s="895"/>
      <c r="C10" s="895"/>
      <c r="D10" s="895"/>
      <c r="E10" s="895"/>
      <c r="I10" s="384"/>
    </row>
    <row r="11" spans="1:9" ht="38.25" x14ac:dyDescent="0.2">
      <c r="A11" s="382" t="s">
        <v>369</v>
      </c>
      <c r="B11" s="388"/>
      <c r="C11" s="382" t="s">
        <v>368</v>
      </c>
      <c r="D11" s="389"/>
      <c r="E11" s="382" t="s">
        <v>367</v>
      </c>
      <c r="F11" s="390"/>
    </row>
    <row r="12" spans="1:9" ht="24" customHeight="1" x14ac:dyDescent="0.2">
      <c r="A12" s="893" t="s">
        <v>364</v>
      </c>
      <c r="B12" s="893"/>
      <c r="C12" s="894"/>
      <c r="D12" s="894"/>
      <c r="E12" s="894"/>
      <c r="F12" s="79">
        <f>SUM(F14:F22)</f>
        <v>0</v>
      </c>
      <c r="G12" s="381">
        <f>IF(F12&gt;0,A12,0)</f>
        <v>0</v>
      </c>
    </row>
    <row r="13" spans="1:9" ht="3" customHeight="1" x14ac:dyDescent="0.2">
      <c r="A13" s="391"/>
      <c r="B13" s="391"/>
      <c r="F13" s="79"/>
    </row>
    <row r="14" spans="1:9" ht="63.75" x14ac:dyDescent="0.2">
      <c r="A14" s="521" t="s">
        <v>811</v>
      </c>
      <c r="B14" s="392"/>
      <c r="C14" s="522" t="s">
        <v>815</v>
      </c>
      <c r="D14" s="392"/>
      <c r="E14" s="522" t="s">
        <v>816</v>
      </c>
      <c r="F14" s="79">
        <f>IF(AND(A14&lt;&gt;"",C14&lt;&gt;"",E14&lt;&gt;""),0,IF(AND(A14="",C14="",E14=""),0,1))</f>
        <v>0</v>
      </c>
    </row>
    <row r="15" spans="1:9" ht="3.75" customHeight="1" x14ac:dyDescent="0.2">
      <c r="A15" s="391"/>
      <c r="B15" s="391"/>
    </row>
    <row r="16" spans="1:9" ht="63.75" x14ac:dyDescent="0.2">
      <c r="A16" s="521" t="s">
        <v>812</v>
      </c>
      <c r="B16" s="392"/>
      <c r="C16" s="522" t="s">
        <v>817</v>
      </c>
      <c r="D16" s="392"/>
      <c r="E16" s="522" t="s">
        <v>816</v>
      </c>
      <c r="F16" s="79">
        <f>IF(AND(A16&lt;&gt;"",C16&lt;&gt;"",E16&lt;&gt;""),0,IF(AND(A16="",C16="",E16=""),0,1))</f>
        <v>0</v>
      </c>
    </row>
    <row r="17" spans="1:7" ht="3.75" customHeight="1" x14ac:dyDescent="0.2">
      <c r="A17" s="391"/>
      <c r="B17" s="391"/>
    </row>
    <row r="18" spans="1:7" ht="51" x14ac:dyDescent="0.2">
      <c r="A18" s="521" t="s">
        <v>813</v>
      </c>
      <c r="B18" s="392"/>
      <c r="C18" s="522" t="s">
        <v>818</v>
      </c>
      <c r="D18" s="392"/>
      <c r="E18" s="522" t="s">
        <v>819</v>
      </c>
      <c r="F18" s="79">
        <f>IF(AND(A18&lt;&gt;"",C18&lt;&gt;"",E18&lt;&gt;""),0,IF(AND(A18="",C18="",E18=""),0,1))</f>
        <v>0</v>
      </c>
    </row>
    <row r="19" spans="1:7" ht="3.75" customHeight="1" x14ac:dyDescent="0.2">
      <c r="A19" s="391"/>
      <c r="B19" s="391"/>
    </row>
    <row r="20" spans="1:7" ht="51" x14ac:dyDescent="0.2">
      <c r="A20" s="521" t="s">
        <v>814</v>
      </c>
      <c r="B20" s="392"/>
      <c r="C20" s="522" t="s">
        <v>820</v>
      </c>
      <c r="D20" s="392"/>
      <c r="E20" s="522" t="s">
        <v>821</v>
      </c>
      <c r="F20" s="79">
        <f>IF(AND(A20&lt;&gt;"",C20&lt;&gt;"",E20&lt;&gt;""),0,IF(AND(A20="",C20="",E20=""),0,1))</f>
        <v>0</v>
      </c>
    </row>
    <row r="21" spans="1:7" ht="3.75" customHeight="1" x14ac:dyDescent="0.2">
      <c r="A21" s="391"/>
      <c r="B21" s="391"/>
    </row>
    <row r="22" spans="1:7" x14ac:dyDescent="0.2">
      <c r="A22" s="396"/>
      <c r="B22" s="392"/>
      <c r="C22" s="393"/>
      <c r="D22" s="392"/>
      <c r="E22" s="393"/>
      <c r="F22" s="79">
        <f>IF(AND(A22&lt;&gt;"",C22&lt;&gt;"",E22&lt;&gt;""),0,IF(AND(A22="",C22="",E22=""),0,1))</f>
        <v>0</v>
      </c>
    </row>
    <row r="23" spans="1:7" ht="3.75" customHeight="1" x14ac:dyDescent="0.2">
      <c r="A23" s="391"/>
      <c r="B23" s="391"/>
    </row>
    <row r="24" spans="1:7" ht="24" customHeight="1" x14ac:dyDescent="0.2">
      <c r="A24" s="893" t="s">
        <v>365</v>
      </c>
      <c r="B24" s="893"/>
      <c r="C24" s="894"/>
      <c r="D24" s="894"/>
      <c r="E24" s="894"/>
      <c r="F24" s="79">
        <f>SUM(F26:F34)</f>
        <v>0</v>
      </c>
      <c r="G24" s="381">
        <f>IF(F24&gt;0,A24,0)</f>
        <v>0</v>
      </c>
    </row>
    <row r="25" spans="1:7" ht="3.75" customHeight="1" x14ac:dyDescent="0.2">
      <c r="A25" s="391"/>
      <c r="B25" s="391"/>
    </row>
    <row r="26" spans="1:7" s="383" customFormat="1" ht="38.25" x14ac:dyDescent="0.2">
      <c r="A26" s="521" t="s">
        <v>822</v>
      </c>
      <c r="B26" s="392"/>
      <c r="C26" s="523" t="s">
        <v>823</v>
      </c>
      <c r="D26" s="380"/>
      <c r="E26" s="523" t="s">
        <v>824</v>
      </c>
      <c r="F26" s="79">
        <f>IF(AND(A26&lt;&gt;"",C26&lt;&gt;"",E26&lt;&gt;""),0,IF(AND(A26="",C26="",E26=""),0,1))</f>
        <v>0</v>
      </c>
      <c r="G26" s="381"/>
    </row>
    <row r="27" spans="1:7" ht="3.75" customHeight="1" x14ac:dyDescent="0.2">
      <c r="A27" s="391"/>
      <c r="B27" s="391"/>
      <c r="C27" s="108"/>
      <c r="D27" s="108"/>
      <c r="E27" s="108"/>
    </row>
    <row r="28" spans="1:7" s="383" customFormat="1" ht="51" x14ac:dyDescent="0.2">
      <c r="A28" s="524" t="s">
        <v>825</v>
      </c>
      <c r="B28" s="395"/>
      <c r="C28" s="523" t="s">
        <v>826</v>
      </c>
      <c r="D28" s="380"/>
      <c r="E28" s="523" t="s">
        <v>830</v>
      </c>
      <c r="F28" s="79">
        <f>IF(AND(A28&lt;&gt;"",C28&lt;&gt;"",E28&lt;&gt;""),0,IF(AND(A28="",C28="",E28=""),0,1))</f>
        <v>0</v>
      </c>
      <c r="G28" s="381"/>
    </row>
    <row r="29" spans="1:7" ht="3.75" customHeight="1" x14ac:dyDescent="0.2">
      <c r="A29" s="391"/>
      <c r="B29" s="391"/>
    </row>
    <row r="30" spans="1:7" s="383" customFormat="1" ht="25.5" x14ac:dyDescent="0.2">
      <c r="A30" s="524" t="s">
        <v>827</v>
      </c>
      <c r="B30" s="395"/>
      <c r="C30" s="522" t="s">
        <v>828</v>
      </c>
      <c r="D30" s="392"/>
      <c r="E30" s="522" t="s">
        <v>829</v>
      </c>
      <c r="F30" s="79">
        <f>IF(AND(A30&lt;&gt;"",C30&lt;&gt;"",E30&lt;&gt;""),0,IF(AND(A30="",C30="",E30=""),0,1))</f>
        <v>0</v>
      </c>
      <c r="G30" s="381"/>
    </row>
    <row r="31" spans="1:7" ht="3.75" customHeight="1" x14ac:dyDescent="0.2">
      <c r="A31" s="391"/>
      <c r="B31" s="391"/>
    </row>
    <row r="32" spans="1:7" s="383" customFormat="1" ht="38.25" x14ac:dyDescent="0.2">
      <c r="A32" s="524" t="s">
        <v>831</v>
      </c>
      <c r="B32" s="395"/>
      <c r="C32" s="522" t="s">
        <v>833</v>
      </c>
      <c r="D32" s="392"/>
      <c r="E32" s="522" t="s">
        <v>832</v>
      </c>
      <c r="F32" s="79">
        <f>IF(AND(A32&lt;&gt;"",C32&lt;&gt;"",E32&lt;&gt;""),0,IF(AND(A32="",C32="",E32=""),0,1))</f>
        <v>0</v>
      </c>
      <c r="G32" s="381"/>
    </row>
    <row r="33" spans="1:7" ht="3.75" customHeight="1" x14ac:dyDescent="0.2">
      <c r="A33" s="391"/>
      <c r="B33" s="391"/>
    </row>
    <row r="34" spans="1:7" s="383" customFormat="1" ht="38.25" x14ac:dyDescent="0.2">
      <c r="A34" s="521" t="s">
        <v>834</v>
      </c>
      <c r="B34" s="392"/>
      <c r="C34" s="522" t="s">
        <v>835</v>
      </c>
      <c r="D34" s="392"/>
      <c r="E34" s="522" t="s">
        <v>832</v>
      </c>
      <c r="F34" s="79">
        <f>IF(AND(A34&lt;&gt;"",C34&lt;&gt;"",E34&lt;&gt;""),0,IF(AND(A34="",C34="",E34=""),0,1))</f>
        <v>0</v>
      </c>
      <c r="G34" s="381"/>
    </row>
    <row r="35" spans="1:7" ht="3.75" customHeight="1" x14ac:dyDescent="0.2">
      <c r="A35" s="391"/>
      <c r="B35" s="391"/>
    </row>
    <row r="36" spans="1:7" ht="24" customHeight="1" x14ac:dyDescent="0.2">
      <c r="A36" s="893" t="s">
        <v>362</v>
      </c>
      <c r="B36" s="893"/>
      <c r="C36" s="894"/>
      <c r="D36" s="894"/>
      <c r="E36" s="894"/>
      <c r="F36" s="79">
        <f>SUM(F38:F40)</f>
        <v>0</v>
      </c>
      <c r="G36" s="381">
        <f>IF(F36&gt;0,A36,0)</f>
        <v>0</v>
      </c>
    </row>
    <row r="37" spans="1:7" ht="3.75" customHeight="1" x14ac:dyDescent="0.2">
      <c r="A37" s="391"/>
      <c r="B37" s="391"/>
    </row>
    <row r="38" spans="1:7" s="383" customFormat="1" ht="51" x14ac:dyDescent="0.2">
      <c r="A38" s="521" t="s">
        <v>836</v>
      </c>
      <c r="B38" s="392"/>
      <c r="C38" s="523" t="s">
        <v>838</v>
      </c>
      <c r="D38" s="380"/>
      <c r="E38" s="523" t="s">
        <v>839</v>
      </c>
      <c r="F38" s="79">
        <f>IF(AND(A38&lt;&gt;"",C38&lt;&gt;"",E38&lt;&gt;""),0,IF(AND(A38="",C38="",E38=""),0,1))</f>
        <v>0</v>
      </c>
      <c r="G38" s="381"/>
    </row>
    <row r="39" spans="1:7" ht="3.75" customHeight="1" x14ac:dyDescent="0.2">
      <c r="A39" s="391"/>
      <c r="B39" s="391"/>
      <c r="C39" s="108"/>
      <c r="D39" s="108"/>
      <c r="E39" s="108"/>
    </row>
    <row r="40" spans="1:7" s="383" customFormat="1" ht="51" x14ac:dyDescent="0.2">
      <c r="A40" s="521" t="s">
        <v>837</v>
      </c>
      <c r="B40" s="392"/>
      <c r="C40" s="523" t="s">
        <v>840</v>
      </c>
      <c r="D40" s="380"/>
      <c r="E40" s="523" t="s">
        <v>839</v>
      </c>
      <c r="F40" s="79">
        <f>IF(AND(A40&lt;&gt;"",C40&lt;&gt;"",E40&lt;&gt;""),0,IF(AND(A40="",C40="",E40=""),0,1))</f>
        <v>0</v>
      </c>
      <c r="G40" s="381"/>
    </row>
    <row r="41" spans="1:7" ht="3.75" customHeight="1" x14ac:dyDescent="0.2">
      <c r="A41" s="391"/>
      <c r="B41" s="391"/>
    </row>
    <row r="42" spans="1:7" ht="24" customHeight="1" x14ac:dyDescent="0.2">
      <c r="A42" s="893" t="s">
        <v>366</v>
      </c>
      <c r="B42" s="893"/>
      <c r="C42" s="894"/>
      <c r="D42" s="894"/>
      <c r="E42" s="894"/>
      <c r="F42" s="79">
        <f>SUM(F44:F50)</f>
        <v>0</v>
      </c>
      <c r="G42" s="381">
        <f>IF(F42&gt;0,A42,0)</f>
        <v>0</v>
      </c>
    </row>
    <row r="43" spans="1:7" ht="3.75" customHeight="1" x14ac:dyDescent="0.2">
      <c r="A43" s="391"/>
      <c r="B43" s="391"/>
    </row>
    <row r="44" spans="1:7" s="383" customFormat="1" ht="63.75" x14ac:dyDescent="0.2">
      <c r="A44" s="521" t="s">
        <v>841</v>
      </c>
      <c r="B44" s="392"/>
      <c r="C44" s="522" t="s">
        <v>843</v>
      </c>
      <c r="D44" s="392"/>
      <c r="E44" s="522" t="s">
        <v>844</v>
      </c>
      <c r="F44" s="79">
        <f>IF(AND(A44&lt;&gt;"",C44&lt;&gt;"",E44&lt;&gt;""),0,IF(AND(A44="",C44="",E44=""),0,1))</f>
        <v>0</v>
      </c>
      <c r="G44" s="381"/>
    </row>
    <row r="45" spans="1:7" ht="3.75" customHeight="1" x14ac:dyDescent="0.2">
      <c r="A45" s="391"/>
      <c r="B45" s="391"/>
    </row>
    <row r="46" spans="1:7" s="383" customFormat="1" ht="63.75" x14ac:dyDescent="0.2">
      <c r="A46" s="521" t="s">
        <v>842</v>
      </c>
      <c r="B46" s="392"/>
      <c r="C46" s="522" t="s">
        <v>845</v>
      </c>
      <c r="D46" s="392"/>
      <c r="E46" s="522" t="s">
        <v>844</v>
      </c>
      <c r="F46" s="79">
        <f>IF(AND(A46&lt;&gt;"",C46&lt;&gt;"",E46&lt;&gt;""),0,IF(AND(A46="",C46="",E46=""),0,1))</f>
        <v>0</v>
      </c>
      <c r="G46" s="381"/>
    </row>
    <row r="47" spans="1:7" ht="3.75" customHeight="1" x14ac:dyDescent="0.2">
      <c r="A47" s="391"/>
      <c r="B47" s="391"/>
    </row>
    <row r="48" spans="1:7" s="383" customFormat="1" x14ac:dyDescent="0.2">
      <c r="A48" s="396"/>
      <c r="B48" s="392"/>
      <c r="C48" s="398"/>
      <c r="D48" s="397"/>
      <c r="E48" s="398"/>
      <c r="F48" s="79">
        <f>IF(AND(A48&lt;&gt;"",C48&lt;&gt;"",E48&lt;&gt;""),0,IF(AND(A48="",C48="",E48=""),0,1))</f>
        <v>0</v>
      </c>
      <c r="G48" s="381"/>
    </row>
    <row r="49" spans="1:7" ht="3.75" customHeight="1" x14ac:dyDescent="0.2">
      <c r="A49" s="391"/>
      <c r="B49" s="391"/>
    </row>
    <row r="50" spans="1:7" s="383" customFormat="1" x14ac:dyDescent="0.2">
      <c r="A50" s="396"/>
      <c r="B50" s="392"/>
      <c r="C50" s="398"/>
      <c r="D50" s="397"/>
      <c r="E50" s="398"/>
      <c r="F50" s="79">
        <f>IF(AND(A50&lt;&gt;"",C50&lt;&gt;"",E50&lt;&gt;""),0,IF(AND(A50="",C50="",E50=""),0,1))</f>
        <v>0</v>
      </c>
      <c r="G50" s="381"/>
    </row>
    <row r="51" spans="1:7" ht="3.75" customHeight="1" x14ac:dyDescent="0.2">
      <c r="A51" s="391"/>
      <c r="B51" s="391"/>
    </row>
    <row r="52" spans="1:7" ht="24" customHeight="1" x14ac:dyDescent="0.2">
      <c r="A52" s="893" t="s">
        <v>658</v>
      </c>
      <c r="B52" s="893"/>
      <c r="C52" s="894"/>
      <c r="D52" s="894"/>
      <c r="E52" s="894"/>
      <c r="F52" s="79">
        <f>SUM(F54:F56)</f>
        <v>0</v>
      </c>
      <c r="G52" s="381">
        <f>IF(F52&gt;0,A52,0)</f>
        <v>0</v>
      </c>
    </row>
    <row r="53" spans="1:7" ht="3.75" customHeight="1" x14ac:dyDescent="0.2">
      <c r="A53" s="391"/>
      <c r="B53" s="391"/>
    </row>
    <row r="54" spans="1:7" s="383" customFormat="1" ht="25.5" x14ac:dyDescent="0.2">
      <c r="A54" s="521" t="s">
        <v>846</v>
      </c>
      <c r="B54" s="392"/>
      <c r="C54" s="523" t="s">
        <v>847</v>
      </c>
      <c r="D54" s="380"/>
      <c r="E54" s="522" t="s">
        <v>848</v>
      </c>
      <c r="F54" s="79">
        <f>IF(AND(A54&lt;&gt;"",C54&lt;&gt;"",E54&lt;&gt;""),0,IF(AND(A54="",C54="",E54=""),0,1))</f>
        <v>0</v>
      </c>
      <c r="G54" s="381"/>
    </row>
    <row r="55" spans="1:7" ht="3.75" customHeight="1" x14ac:dyDescent="0.2">
      <c r="A55" s="391"/>
      <c r="B55" s="391"/>
      <c r="C55" s="108"/>
      <c r="D55" s="108"/>
    </row>
    <row r="56" spans="1:7" s="383" customFormat="1" ht="25.5" x14ac:dyDescent="0.2">
      <c r="A56" s="521" t="s">
        <v>849</v>
      </c>
      <c r="B56" s="392"/>
      <c r="C56" s="523" t="s">
        <v>850</v>
      </c>
      <c r="D56" s="380"/>
      <c r="E56" s="522" t="s">
        <v>848</v>
      </c>
      <c r="F56" s="79">
        <f>IF(AND(A56&lt;&gt;"",C56&lt;&gt;"",E56&lt;&gt;""),0,IF(AND(A56="",C56="",E56=""),0,1))</f>
        <v>0</v>
      </c>
      <c r="G56" s="381"/>
    </row>
    <row r="57" spans="1:7" ht="3.75" customHeight="1" x14ac:dyDescent="0.2">
      <c r="A57" s="391"/>
      <c r="B57" s="391"/>
    </row>
    <row r="58" spans="1:7" ht="24" customHeight="1" x14ac:dyDescent="0.2">
      <c r="A58" s="893" t="s">
        <v>659</v>
      </c>
      <c r="B58" s="893"/>
      <c r="C58" s="894"/>
      <c r="D58" s="894"/>
      <c r="E58" s="894"/>
      <c r="F58" s="79">
        <f>SUM(F60:F62)</f>
        <v>0</v>
      </c>
      <c r="G58" s="381">
        <f>IF(F58&gt;0,A58,0)</f>
        <v>0</v>
      </c>
    </row>
    <row r="59" spans="1:7" ht="3.75" customHeight="1" x14ac:dyDescent="0.2">
      <c r="A59" s="391"/>
      <c r="B59" s="391"/>
    </row>
    <row r="60" spans="1:7" s="383" customFormat="1" x14ac:dyDescent="0.2">
      <c r="A60" s="396"/>
      <c r="B60" s="392"/>
      <c r="C60" s="394"/>
      <c r="D60" s="380"/>
      <c r="E60" s="393"/>
      <c r="F60" s="79">
        <f>IF(AND(A60&lt;&gt;"",C60&lt;&gt;"",E60&lt;&gt;""),0,IF(AND(A60="",C60="",E60=""),0,1))</f>
        <v>0</v>
      </c>
      <c r="G60" s="381"/>
    </row>
    <row r="61" spans="1:7" ht="3.75" customHeight="1" x14ac:dyDescent="0.2">
      <c r="A61" s="391"/>
      <c r="B61" s="391"/>
      <c r="C61" s="108"/>
      <c r="D61" s="108"/>
    </row>
    <row r="62" spans="1:7" s="383" customFormat="1" x14ac:dyDescent="0.2">
      <c r="A62" s="396"/>
      <c r="B62" s="392"/>
      <c r="C62" s="394"/>
      <c r="D62" s="380"/>
      <c r="E62" s="393"/>
      <c r="F62" s="79">
        <f>IF(AND(A62&lt;&gt;"",C62&lt;&gt;"",E62&lt;&gt;""),0,IF(AND(A62="",C62="",E62=""),0,1))</f>
        <v>0</v>
      </c>
      <c r="G62" s="381"/>
    </row>
  </sheetData>
  <sheetProtection password="F58B" sheet="1" objects="1" scenarios="1" formatCells="0"/>
  <mergeCells count="9">
    <mergeCell ref="A58:E58"/>
    <mergeCell ref="A10:E10"/>
    <mergeCell ref="A1:E1"/>
    <mergeCell ref="A9:E9"/>
    <mergeCell ref="A12:E12"/>
    <mergeCell ref="A24:E24"/>
    <mergeCell ref="A52:E52"/>
    <mergeCell ref="A36:E36"/>
    <mergeCell ref="A42:E42"/>
  </mergeCells>
  <phoneticPr fontId="3" type="noConversion"/>
  <conditionalFormatting sqref="A48">
    <cfRule type="expression" dxfId="50" priority="17" stopIfTrue="1">
      <formula>$G$48</formula>
    </cfRule>
  </conditionalFormatting>
  <conditionalFormatting sqref="A50">
    <cfRule type="expression" dxfId="49" priority="16" stopIfTrue="1">
      <formula>$G$50</formula>
    </cfRule>
  </conditionalFormatting>
  <conditionalFormatting sqref="A46">
    <cfRule type="expression" dxfId="48" priority="36" stopIfTrue="1">
      <formula>$G$46</formula>
    </cfRule>
  </conditionalFormatting>
  <conditionalFormatting sqref="A18">
    <cfRule type="expression" dxfId="47" priority="32" stopIfTrue="1">
      <formula>$G$18</formula>
    </cfRule>
  </conditionalFormatting>
  <conditionalFormatting sqref="A20">
    <cfRule type="expression" dxfId="46" priority="31" stopIfTrue="1">
      <formula>$G$20</formula>
    </cfRule>
  </conditionalFormatting>
  <conditionalFormatting sqref="A22">
    <cfRule type="expression" dxfId="45" priority="30" stopIfTrue="1">
      <formula>$G$22</formula>
    </cfRule>
  </conditionalFormatting>
  <conditionalFormatting sqref="A26">
    <cfRule type="expression" dxfId="44" priority="28" stopIfTrue="1">
      <formula>$G$26</formula>
    </cfRule>
  </conditionalFormatting>
  <conditionalFormatting sqref="A28">
    <cfRule type="expression" dxfId="43" priority="27" stopIfTrue="1">
      <formula>$G$28</formula>
    </cfRule>
  </conditionalFormatting>
  <conditionalFormatting sqref="A30">
    <cfRule type="expression" dxfId="42" priority="26" stopIfTrue="1">
      <formula>$G$30</formula>
    </cfRule>
  </conditionalFormatting>
  <conditionalFormatting sqref="A32">
    <cfRule type="expression" dxfId="41" priority="25" stopIfTrue="1">
      <formula>$G$32</formula>
    </cfRule>
  </conditionalFormatting>
  <conditionalFormatting sqref="A34">
    <cfRule type="expression" dxfId="40" priority="23" stopIfTrue="1">
      <formula>$G$34</formula>
    </cfRule>
  </conditionalFormatting>
  <conditionalFormatting sqref="A60">
    <cfRule type="expression" dxfId="39" priority="22" stopIfTrue="1">
      <formula>$G$60</formula>
    </cfRule>
  </conditionalFormatting>
  <conditionalFormatting sqref="A62">
    <cfRule type="expression" dxfId="38" priority="21" stopIfTrue="1">
      <formula>$G$62</formula>
    </cfRule>
  </conditionalFormatting>
  <conditionalFormatting sqref="A40">
    <cfRule type="expression" dxfId="37" priority="18" stopIfTrue="1">
      <formula>$G$40</formula>
    </cfRule>
  </conditionalFormatting>
  <conditionalFormatting sqref="A14">
    <cfRule type="expression" dxfId="36" priority="33" stopIfTrue="1">
      <formula>$G$14</formula>
    </cfRule>
  </conditionalFormatting>
  <conditionalFormatting sqref="A16">
    <cfRule type="expression" dxfId="35" priority="34" stopIfTrue="1">
      <formula>$G$16</formula>
    </cfRule>
  </conditionalFormatting>
  <conditionalFormatting sqref="A44">
    <cfRule type="expression" dxfId="34" priority="35" stopIfTrue="1">
      <formula>$G$44</formula>
    </cfRule>
  </conditionalFormatting>
  <conditionalFormatting sqref="A38">
    <cfRule type="expression" dxfId="33" priority="9" stopIfTrue="1">
      <formula>$G$38</formula>
    </cfRule>
  </conditionalFormatting>
  <conditionalFormatting sqref="A54">
    <cfRule type="expression" dxfId="32" priority="8" stopIfTrue="1">
      <formula>$G$60</formula>
    </cfRule>
  </conditionalFormatting>
  <conditionalFormatting sqref="A56">
    <cfRule type="expression" dxfId="31" priority="7" stopIfTrue="1">
      <formula>$G$62</formula>
    </cfRule>
  </conditionalFormatting>
  <conditionalFormatting sqref="A12:E12">
    <cfRule type="cellIs" dxfId="30" priority="6" stopIfTrue="1" operator="equal">
      <formula>$G12</formula>
    </cfRule>
  </conditionalFormatting>
  <conditionalFormatting sqref="A24:E24">
    <cfRule type="cellIs" dxfId="29" priority="5" stopIfTrue="1" operator="equal">
      <formula>$G24</formula>
    </cfRule>
  </conditionalFormatting>
  <conditionalFormatting sqref="A36:E36">
    <cfRule type="cellIs" dxfId="28" priority="4" stopIfTrue="1" operator="equal">
      <formula>$G36</formula>
    </cfRule>
  </conditionalFormatting>
  <conditionalFormatting sqref="A42:E42">
    <cfRule type="cellIs" dxfId="27" priority="3" stopIfTrue="1" operator="equal">
      <formula>$G42</formula>
    </cfRule>
  </conditionalFormatting>
  <conditionalFormatting sqref="A52:E52">
    <cfRule type="cellIs" dxfId="26" priority="2" stopIfTrue="1" operator="equal">
      <formula>$G52</formula>
    </cfRule>
  </conditionalFormatting>
  <conditionalFormatting sqref="A58:E58">
    <cfRule type="cellIs" dxfId="25" priority="1" stopIfTrue="1" operator="equal">
      <formula>$G58</formula>
    </cfRule>
  </conditionalFormatting>
  <dataValidations count="4">
    <dataValidation type="textLength" operator="lessThanOrEqual" allowBlank="1" showInputMessage="1" showErrorMessage="1" sqref="E19">
      <formula1>120</formula1>
    </dataValidation>
    <dataValidation type="textLength" allowBlank="1" showInputMessage="1" showErrorMessage="1" sqref="A14 A16 A18 A20 A22 A26 A28 A30 A32 A34 A38 A40 A44 A46 A48 A62 A60 A50 A56 A54">
      <formula1>0</formula1>
      <formula2>200</formula2>
    </dataValidation>
    <dataValidation type="textLength" operator="lessThanOrEqual" allowBlank="1" showInputMessage="1" showErrorMessage="1" sqref="C14 C16 C18 C20 C22 C26 C28 C30 C32 C34 C38 C40 C44 C46 C48 C62 C60 C50 C56 C54">
      <formula1>500</formula1>
    </dataValidation>
    <dataValidation type="textLength" operator="lessThanOrEqual" allowBlank="1" showInputMessage="1" showErrorMessage="1" sqref="E14 E16 E18 E20 E22 E26 E28 E30 E32 E34 E38 E40 E44 E46 E48 E62 E60 E50 E56 E54">
      <formula1>200</formula1>
    </dataValidation>
  </dataValidations>
  <pageMargins left="0.70866141732283472" right="0.70866141732283472" top="0.74803149606299213" bottom="0.74803149606299213" header="0.31496062992125984" footer="0.31496062992125984"/>
  <pageSetup scale="70" fitToHeight="3" orientation="landscape" r:id="rId1"/>
  <headerFooter>
    <oddFooter>&amp;C&amp;A&amp;RPage &amp;P of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0"/>
  <sheetViews>
    <sheetView topLeftCell="A9" zoomScale="115" zoomScaleNormal="115" zoomScalePageLayoutView="115" workbookViewId="0">
      <selection activeCell="G18" sqref="G18"/>
    </sheetView>
  </sheetViews>
  <sheetFormatPr defaultColWidth="9.140625" defaultRowHeight="12.75" x14ac:dyDescent="0.2"/>
  <cols>
    <col min="1" max="1" width="3.140625" style="80" customWidth="1"/>
    <col min="2" max="2" width="0.85546875" style="44" customWidth="1"/>
    <col min="3" max="3" width="12.42578125" style="44" customWidth="1"/>
    <col min="4" max="4" width="0.85546875" style="44" customWidth="1"/>
    <col min="5" max="5" width="21.28515625" style="44" customWidth="1"/>
    <col min="6" max="6" width="0.85546875" style="44" customWidth="1"/>
    <col min="7" max="7" width="36.7109375" style="44" customWidth="1"/>
    <col min="8" max="8" width="0.85546875" style="44" customWidth="1"/>
    <col min="9" max="9" width="60.42578125" style="44" customWidth="1"/>
    <col min="10" max="10" width="7.28515625" style="44" hidden="1" customWidth="1"/>
    <col min="11" max="11" width="14.85546875" style="79" hidden="1" customWidth="1"/>
    <col min="12" max="12" width="12.85546875" style="79" hidden="1" customWidth="1"/>
    <col min="13" max="13" width="11" style="79" hidden="1" customWidth="1"/>
    <col min="14" max="14" width="13.42578125" style="79" hidden="1" customWidth="1"/>
    <col min="15" max="15" width="9.140625" style="79" hidden="1" customWidth="1"/>
    <col min="16" max="16" width="10.42578125" style="79" customWidth="1"/>
    <col min="17" max="17" width="10.140625" style="79" customWidth="1"/>
    <col min="18" max="16384" width="9.140625" style="79"/>
  </cols>
  <sheetData>
    <row r="1" spans="1:17" ht="22.5" customHeight="1" x14ac:dyDescent="0.2">
      <c r="A1" s="738" t="s">
        <v>370</v>
      </c>
      <c r="B1" s="738"/>
      <c r="C1" s="738"/>
      <c r="D1" s="738"/>
      <c r="E1" s="738"/>
      <c r="F1" s="738"/>
      <c r="G1" s="738"/>
      <c r="H1" s="738"/>
      <c r="I1" s="738"/>
      <c r="J1" s="100"/>
      <c r="K1" s="134" t="s">
        <v>4</v>
      </c>
      <c r="L1" s="449"/>
      <c r="M1" s="450"/>
      <c r="N1" s="355"/>
      <c r="O1" s="451"/>
      <c r="P1" s="355"/>
      <c r="Q1" s="355"/>
    </row>
    <row r="2" spans="1:17" x14ac:dyDescent="0.2">
      <c r="K2" s="79" t="str">
        <f>'1. General Data'!Y2</f>
        <v>Letenye</v>
      </c>
      <c r="L2" s="355"/>
      <c r="M2" s="355"/>
      <c r="N2" s="355"/>
      <c r="O2" s="355"/>
      <c r="P2" s="355"/>
      <c r="Q2" s="452"/>
    </row>
    <row r="3" spans="1:17" x14ac:dyDescent="0.2">
      <c r="A3" s="605" t="str">
        <f>'1. General Data'!R12</f>
        <v>HUHR/1601/</v>
      </c>
      <c r="B3" s="605"/>
      <c r="C3" s="605"/>
      <c r="E3" s="17" t="s">
        <v>321</v>
      </c>
      <c r="G3" s="877" t="str">
        <f>T('1. General Data'!E25)</f>
        <v>2.1.1. Bicycle paths</v>
      </c>
      <c r="H3" s="878"/>
      <c r="I3" s="879"/>
      <c r="K3" s="79" t="str">
        <f>'1. General Data'!Y3</f>
        <v>GP</v>
      </c>
      <c r="L3" s="355"/>
      <c r="M3" s="402"/>
      <c r="N3" s="355"/>
      <c r="O3" s="355"/>
      <c r="P3" s="355"/>
      <c r="Q3" s="452"/>
    </row>
    <row r="4" spans="1:17" ht="6" customHeight="1" x14ac:dyDescent="0.2">
      <c r="K4" s="79" t="str">
        <f>'1. General Data'!Y4</f>
        <v>Grad Ludbreg</v>
      </c>
      <c r="L4" s="355"/>
      <c r="M4" s="402"/>
      <c r="N4" s="355"/>
      <c r="O4" s="355"/>
      <c r="P4" s="355"/>
      <c r="Q4" s="452"/>
    </row>
    <row r="5" spans="1:17" x14ac:dyDescent="0.2">
      <c r="A5" s="642" t="s">
        <v>139</v>
      </c>
      <c r="B5" s="642"/>
      <c r="C5" s="642"/>
      <c r="D5" s="80"/>
      <c r="E5" s="208" t="str">
        <f>T('1. General Data'!C14)</f>
        <v>Happy Bike</v>
      </c>
      <c r="F5" s="457"/>
      <c r="G5" s="17" t="s">
        <v>138</v>
      </c>
      <c r="H5" s="448"/>
      <c r="I5" s="208" t="str">
        <f>T('2. LB data'!C9:F9)</f>
        <v>Letenye</v>
      </c>
      <c r="K5" s="79" t="str">
        <f>'1. General Data'!Y5</f>
        <v>ŽUC Varaždin</v>
      </c>
      <c r="L5" s="355"/>
      <c r="M5" s="402"/>
      <c r="N5" s="355"/>
      <c r="O5" s="355"/>
      <c r="P5" s="355"/>
      <c r="Q5" s="452"/>
    </row>
    <row r="6" spans="1:17" hidden="1" x14ac:dyDescent="0.2">
      <c r="E6" s="101"/>
      <c r="F6" s="101"/>
      <c r="G6" s="243"/>
      <c r="K6" s="79" t="str">
        <f>'1. General Data'!Y6</f>
        <v>-</v>
      </c>
      <c r="L6" s="355"/>
      <c r="M6" s="355"/>
      <c r="N6" s="355"/>
      <c r="O6" s="355"/>
      <c r="P6" s="453"/>
      <c r="Q6" s="355"/>
    </row>
    <row r="7" spans="1:17" ht="15.75" hidden="1" customHeight="1" x14ac:dyDescent="0.2">
      <c r="A7" s="79"/>
      <c r="B7" s="79"/>
      <c r="C7" s="79"/>
      <c r="D7" s="79"/>
      <c r="E7" s="79"/>
      <c r="F7" s="79"/>
      <c r="G7" s="79"/>
      <c r="H7" s="79"/>
      <c r="I7" s="79"/>
      <c r="K7" s="79" t="str">
        <f>'1. General Data'!Y7</f>
        <v>-</v>
      </c>
    </row>
    <row r="8" spans="1:17" hidden="1" x14ac:dyDescent="0.2">
      <c r="A8" s="79"/>
      <c r="B8" s="79"/>
      <c r="C8" s="79"/>
      <c r="D8" s="79"/>
      <c r="E8" s="79"/>
      <c r="F8" s="79"/>
      <c r="G8" s="79"/>
      <c r="H8" s="79"/>
      <c r="I8" s="79"/>
      <c r="J8" s="114"/>
      <c r="K8" s="79" t="str">
        <f>'1. General Data'!Y8</f>
        <v>-</v>
      </c>
    </row>
    <row r="9" spans="1:17" ht="56.25" customHeight="1" x14ac:dyDescent="0.2">
      <c r="A9" s="898" t="s">
        <v>656</v>
      </c>
      <c r="B9" s="899"/>
      <c r="C9" s="899"/>
      <c r="D9" s="899"/>
      <c r="E9" s="899"/>
      <c r="F9" s="899"/>
      <c r="G9" s="899"/>
      <c r="H9" s="899"/>
      <c r="I9" s="899"/>
      <c r="K9" s="79" t="str">
        <f>'1. General Data'!Y9</f>
        <v>-</v>
      </c>
    </row>
    <row r="10" spans="1:17" ht="38.25" customHeight="1" x14ac:dyDescent="0.2">
      <c r="A10" s="180" t="s">
        <v>144</v>
      </c>
      <c r="B10" s="120"/>
      <c r="C10" s="180" t="s">
        <v>371</v>
      </c>
      <c r="D10" s="120"/>
      <c r="E10" s="180" t="s">
        <v>373</v>
      </c>
      <c r="F10" s="129"/>
      <c r="G10" s="180" t="s">
        <v>372</v>
      </c>
      <c r="H10" s="120"/>
      <c r="I10" s="180" t="s">
        <v>654</v>
      </c>
      <c r="J10" s="114"/>
      <c r="K10" s="79">
        <f>SUM(K12:K50)</f>
        <v>0</v>
      </c>
      <c r="L10" s="79">
        <f>IF($K10=0,0,C10)</f>
        <v>0</v>
      </c>
      <c r="M10" s="79">
        <f>IF($K10=0,0,E10)</f>
        <v>0</v>
      </c>
      <c r="N10" s="79">
        <f>IF($K10=0,0,G10)</f>
        <v>0</v>
      </c>
      <c r="O10" s="79">
        <f>IF($K10=0,0,I10)</f>
        <v>0</v>
      </c>
    </row>
    <row r="11" spans="1:17" ht="3.75" customHeight="1" x14ac:dyDescent="0.2">
      <c r="F11" s="104"/>
    </row>
    <row r="12" spans="1:17" ht="63.75" x14ac:dyDescent="0.2">
      <c r="A12" s="49">
        <v>1</v>
      </c>
      <c r="B12" s="116"/>
      <c r="C12" s="139" t="s">
        <v>665</v>
      </c>
      <c r="D12" s="137"/>
      <c r="E12" s="509" t="s">
        <v>982</v>
      </c>
      <c r="F12" s="454"/>
      <c r="G12" s="509" t="s">
        <v>851</v>
      </c>
      <c r="I12" s="525" t="s">
        <v>852</v>
      </c>
      <c r="K12" s="79">
        <f>IF(AND(C12&lt;&gt;"",E12&lt;&gt;"",G12&lt;&gt;"",I12&lt;&gt;""),0,IF(AND(C12="",E12="",G12="",I12=""),0,1))</f>
        <v>0</v>
      </c>
      <c r="L12" s="79">
        <f>IF(K12=0,0,A12)</f>
        <v>0</v>
      </c>
    </row>
    <row r="13" spans="1:17" ht="3.75" customHeight="1" x14ac:dyDescent="0.2">
      <c r="E13" s="455"/>
      <c r="F13" s="456"/>
      <c r="G13" s="455"/>
    </row>
    <row r="14" spans="1:17" ht="63.75" x14ac:dyDescent="0.2">
      <c r="A14" s="49">
        <v>2</v>
      </c>
      <c r="B14" s="116"/>
      <c r="C14" s="139" t="s">
        <v>665</v>
      </c>
      <c r="D14" s="137"/>
      <c r="E14" s="509" t="s">
        <v>853</v>
      </c>
      <c r="F14" s="454"/>
      <c r="G14" s="509" t="s">
        <v>854</v>
      </c>
      <c r="I14" s="525" t="s">
        <v>855</v>
      </c>
      <c r="K14" s="79">
        <f>IF(AND(C14&lt;&gt;"",E14&lt;&gt;"",G14&lt;&gt;"",I14&lt;&gt;""),0,IF(AND(C14="",E14="",G14="",I14=""),0,1))</f>
        <v>0</v>
      </c>
      <c r="L14" s="79">
        <f>IF(K14=0,0,A14)</f>
        <v>0</v>
      </c>
    </row>
    <row r="15" spans="1:17" ht="3.75" customHeight="1" x14ac:dyDescent="0.2">
      <c r="E15" s="455"/>
      <c r="F15" s="456"/>
      <c r="G15" s="455"/>
    </row>
    <row r="16" spans="1:17" ht="63.75" x14ac:dyDescent="0.2">
      <c r="A16" s="49">
        <v>3</v>
      </c>
      <c r="B16" s="116"/>
      <c r="C16" s="139" t="s">
        <v>665</v>
      </c>
      <c r="D16" s="137"/>
      <c r="E16" s="509" t="s">
        <v>856</v>
      </c>
      <c r="F16" s="454"/>
      <c r="G16" s="509" t="s">
        <v>857</v>
      </c>
      <c r="I16" s="525" t="s">
        <v>858</v>
      </c>
      <c r="K16" s="79">
        <f>IF(AND(C16&lt;&gt;"",E16&lt;&gt;"",G16&lt;&gt;"",I16&lt;&gt;""),0,IF(AND(C16="",E16="",G16="",I16=""),0,1))</f>
        <v>0</v>
      </c>
      <c r="L16" s="79">
        <f>IF(K16=0,0,A16)</f>
        <v>0</v>
      </c>
    </row>
    <row r="17" spans="1:12" ht="3.75" customHeight="1" x14ac:dyDescent="0.2">
      <c r="F17" s="104"/>
    </row>
    <row r="18" spans="1:12" ht="63.75" x14ac:dyDescent="0.2">
      <c r="A18" s="49">
        <v>4</v>
      </c>
      <c r="B18" s="116"/>
      <c r="C18" s="139" t="s">
        <v>912</v>
      </c>
      <c r="D18" s="137"/>
      <c r="E18" s="509" t="s">
        <v>981</v>
      </c>
      <c r="F18" s="43"/>
      <c r="G18" s="509" t="s">
        <v>979</v>
      </c>
      <c r="I18" s="525" t="s">
        <v>980</v>
      </c>
      <c r="K18" s="79">
        <f>IF(AND(C18&lt;&gt;"",E18&lt;&gt;"",G18&lt;&gt;"",I18&lt;&gt;""),0,IF(AND(C18="",E18="",G18="",I18=""),0,1))</f>
        <v>0</v>
      </c>
      <c r="L18" s="79">
        <f>IF(K18=0,0,A18)</f>
        <v>0</v>
      </c>
    </row>
    <row r="19" spans="1:12" ht="3.75" customHeight="1" x14ac:dyDescent="0.2">
      <c r="F19" s="104"/>
    </row>
    <row r="20" spans="1:12" ht="63.75" x14ac:dyDescent="0.2">
      <c r="A20" s="49">
        <v>5</v>
      </c>
      <c r="B20" s="116"/>
      <c r="C20" s="139" t="s">
        <v>912</v>
      </c>
      <c r="D20" s="137"/>
      <c r="E20" s="509" t="s">
        <v>985</v>
      </c>
      <c r="F20" s="43"/>
      <c r="G20" s="509" t="s">
        <v>983</v>
      </c>
      <c r="I20" s="525" t="s">
        <v>984</v>
      </c>
      <c r="K20" s="79">
        <f>IF(AND(C20&lt;&gt;"",E20&lt;&gt;"",G20&lt;&gt;"",I20&lt;&gt;""),0,IF(AND(C20="",E20="",G20="",I20=""),0,1))</f>
        <v>0</v>
      </c>
      <c r="L20" s="79">
        <f>IF(K20=0,0,A20)</f>
        <v>0</v>
      </c>
    </row>
    <row r="21" spans="1:12" ht="3.75" customHeight="1" x14ac:dyDescent="0.2">
      <c r="F21" s="104"/>
    </row>
    <row r="22" spans="1:12" ht="63.75" x14ac:dyDescent="0.2">
      <c r="A22" s="49">
        <v>6</v>
      </c>
      <c r="B22" s="116"/>
      <c r="C22" s="139" t="s">
        <v>682</v>
      </c>
      <c r="D22" s="137"/>
      <c r="E22" s="509" t="s">
        <v>986</v>
      </c>
      <c r="F22" s="43"/>
      <c r="G22" s="509" t="s">
        <v>979</v>
      </c>
      <c r="I22" s="525" t="s">
        <v>1045</v>
      </c>
      <c r="K22" s="79">
        <f>IF(AND(C22&lt;&gt;"",E22&lt;&gt;"",G22&lt;&gt;"",I22&lt;&gt;""),0,IF(AND(C22="",E22="",G22="",I22=""),0,1))</f>
        <v>0</v>
      </c>
      <c r="L22" s="79">
        <f>IF(K22=0,0,A22)</f>
        <v>0</v>
      </c>
    </row>
    <row r="23" spans="1:12" ht="3.75" customHeight="1" x14ac:dyDescent="0.2">
      <c r="F23" s="104"/>
    </row>
    <row r="24" spans="1:12" ht="63.75" x14ac:dyDescent="0.2">
      <c r="A24" s="49">
        <v>7</v>
      </c>
      <c r="B24" s="116"/>
      <c r="C24" s="139" t="s">
        <v>923</v>
      </c>
      <c r="D24" s="137"/>
      <c r="E24" s="509" t="s">
        <v>1044</v>
      </c>
      <c r="F24" s="43"/>
      <c r="G24" s="509" t="s">
        <v>979</v>
      </c>
      <c r="I24" s="525" t="s">
        <v>1046</v>
      </c>
      <c r="K24" s="79">
        <f>IF(AND(C24&lt;&gt;"",E24&lt;&gt;"",G24&lt;&gt;"",I24&lt;&gt;""),0,IF(AND(C24="",E24="",G24="",I24=""),0,1))</f>
        <v>0</v>
      </c>
      <c r="L24" s="79">
        <f>IF(K24=0,0,A24)</f>
        <v>0</v>
      </c>
    </row>
    <row r="25" spans="1:12" ht="3.75" customHeight="1" x14ac:dyDescent="0.2">
      <c r="F25" s="104"/>
    </row>
    <row r="26" spans="1:12" x14ac:dyDescent="0.2">
      <c r="A26" s="49">
        <v>8</v>
      </c>
      <c r="B26" s="116"/>
      <c r="C26" s="139"/>
      <c r="D26" s="137"/>
      <c r="E26" s="140"/>
      <c r="F26" s="43"/>
      <c r="G26" s="140"/>
      <c r="I26" s="212"/>
      <c r="K26" s="79">
        <f>IF(AND(C26&lt;&gt;"",E26&lt;&gt;"",G26&lt;&gt;"",I26&lt;&gt;""),0,IF(AND(C26="",E26="",G26="",I26=""),0,1))</f>
        <v>0</v>
      </c>
      <c r="L26" s="79">
        <f>IF(K26=0,0,A26)</f>
        <v>0</v>
      </c>
    </row>
    <row r="27" spans="1:12" ht="3.75" customHeight="1" x14ac:dyDescent="0.2">
      <c r="F27" s="104"/>
    </row>
    <row r="28" spans="1:12" x14ac:dyDescent="0.2">
      <c r="A28" s="49">
        <v>9</v>
      </c>
      <c r="B28" s="116"/>
      <c r="C28" s="139"/>
      <c r="D28" s="137"/>
      <c r="E28" s="140"/>
      <c r="F28" s="454"/>
      <c r="G28" s="140"/>
      <c r="I28" s="212"/>
      <c r="K28" s="79">
        <f>IF(AND(C28&lt;&gt;"",E28&lt;&gt;"",G28&lt;&gt;"",I28&lt;&gt;""),0,IF(AND(C28="",E28="",G28="",I28=""),0,1))</f>
        <v>0</v>
      </c>
      <c r="L28" s="79">
        <f>IF(K28=0,0,A28)</f>
        <v>0</v>
      </c>
    </row>
    <row r="29" spans="1:12" ht="3.75" customHeight="1" x14ac:dyDescent="0.2">
      <c r="E29" s="455"/>
      <c r="F29" s="456"/>
      <c r="G29" s="455"/>
    </row>
    <row r="30" spans="1:12" x14ac:dyDescent="0.2">
      <c r="A30" s="49">
        <v>10</v>
      </c>
      <c r="B30" s="116"/>
      <c r="C30" s="139"/>
      <c r="D30" s="137"/>
      <c r="E30" s="140"/>
      <c r="F30" s="454"/>
      <c r="G30" s="140"/>
      <c r="I30" s="212"/>
      <c r="K30" s="79">
        <f>IF(AND(C30&lt;&gt;"",E30&lt;&gt;"",G30&lt;&gt;"",I30&lt;&gt;""),0,IF(AND(C30="",E30="",G30="",I30=""),0,1))</f>
        <v>0</v>
      </c>
      <c r="L30" s="79">
        <f>IF(K30=0,0,A30)</f>
        <v>0</v>
      </c>
    </row>
    <row r="31" spans="1:12" ht="3.75" customHeight="1" x14ac:dyDescent="0.2">
      <c r="E31" s="455"/>
      <c r="F31" s="456"/>
      <c r="G31" s="455"/>
    </row>
    <row r="32" spans="1:12" x14ac:dyDescent="0.2">
      <c r="A32" s="49">
        <v>11</v>
      </c>
      <c r="B32" s="116"/>
      <c r="C32" s="139"/>
      <c r="D32" s="137"/>
      <c r="E32" s="140"/>
      <c r="F32" s="454"/>
      <c r="G32" s="140"/>
      <c r="I32" s="212"/>
      <c r="K32" s="79">
        <f>IF(AND(C32&lt;&gt;"",E32&lt;&gt;"",G32&lt;&gt;"",I32&lt;&gt;""),0,IF(AND(C32="",E32="",G32="",I32=""),0,1))</f>
        <v>0</v>
      </c>
      <c r="L32" s="79">
        <f>IF(K32=0,0,A32)</f>
        <v>0</v>
      </c>
    </row>
    <row r="33" spans="1:12" ht="3.75" customHeight="1" x14ac:dyDescent="0.2">
      <c r="F33" s="104"/>
    </row>
    <row r="34" spans="1:12" x14ac:dyDescent="0.2">
      <c r="A34" s="49">
        <v>12</v>
      </c>
      <c r="B34" s="116"/>
      <c r="C34" s="139"/>
      <c r="D34" s="137"/>
      <c r="E34" s="140"/>
      <c r="F34" s="43"/>
      <c r="G34" s="140"/>
      <c r="I34" s="212"/>
      <c r="K34" s="79">
        <f>IF(AND(C34&lt;&gt;"",E34&lt;&gt;"",G34&lt;&gt;"",I34&lt;&gt;""),0,IF(AND(C34="",E34="",G34="",I34=""),0,1))</f>
        <v>0</v>
      </c>
      <c r="L34" s="79">
        <f>IF(K34=0,0,A34)</f>
        <v>0</v>
      </c>
    </row>
    <row r="35" spans="1:12" ht="3.75" customHeight="1" x14ac:dyDescent="0.2">
      <c r="F35" s="104"/>
    </row>
    <row r="36" spans="1:12" x14ac:dyDescent="0.2">
      <c r="A36" s="49">
        <v>13</v>
      </c>
      <c r="B36" s="116"/>
      <c r="C36" s="139"/>
      <c r="D36" s="137"/>
      <c r="E36" s="140"/>
      <c r="F36" s="43"/>
      <c r="G36" s="140"/>
      <c r="I36" s="212"/>
      <c r="K36" s="79">
        <f>IF(AND(C36&lt;&gt;"",E36&lt;&gt;"",G36&lt;&gt;"",I36&lt;&gt;""),0,IF(AND(C36="",E36="",G36="",I36=""),0,1))</f>
        <v>0</v>
      </c>
      <c r="L36" s="79">
        <f>IF(K36=0,0,A36)</f>
        <v>0</v>
      </c>
    </row>
    <row r="37" spans="1:12" ht="3.75" customHeight="1" x14ac:dyDescent="0.2">
      <c r="F37" s="104"/>
    </row>
    <row r="38" spans="1:12" x14ac:dyDescent="0.2">
      <c r="A38" s="49">
        <v>14</v>
      </c>
      <c r="B38" s="116"/>
      <c r="C38" s="139"/>
      <c r="D38" s="137"/>
      <c r="E38" s="140"/>
      <c r="F38" s="43"/>
      <c r="G38" s="140"/>
      <c r="I38" s="212"/>
      <c r="K38" s="79">
        <f>IF(AND(C38&lt;&gt;"",E38&lt;&gt;"",G38&lt;&gt;"",I38&lt;&gt;""),0,IF(AND(C38="",E38="",G38="",I38=""),0,1))</f>
        <v>0</v>
      </c>
      <c r="L38" s="79">
        <f>IF(K38=0,0,A38)</f>
        <v>0</v>
      </c>
    </row>
    <row r="39" spans="1:12" ht="3.75" customHeight="1" x14ac:dyDescent="0.2">
      <c r="F39" s="104"/>
    </row>
    <row r="40" spans="1:12" x14ac:dyDescent="0.2">
      <c r="A40" s="49">
        <v>15</v>
      </c>
      <c r="B40" s="116"/>
      <c r="C40" s="139"/>
      <c r="D40" s="137"/>
      <c r="E40" s="140"/>
      <c r="F40" s="43"/>
      <c r="G40" s="140"/>
      <c r="I40" s="212"/>
      <c r="K40" s="79">
        <f>IF(AND(C40&lt;&gt;"",E40&lt;&gt;"",G40&lt;&gt;"",I40&lt;&gt;""),0,IF(AND(C40="",E40="",G40="",I40=""),0,1))</f>
        <v>0</v>
      </c>
      <c r="L40" s="79">
        <f>IF(K40=0,0,A40)</f>
        <v>0</v>
      </c>
    </row>
    <row r="41" spans="1:12" ht="3.75" customHeight="1" x14ac:dyDescent="0.2">
      <c r="F41" s="104"/>
    </row>
    <row r="42" spans="1:12" x14ac:dyDescent="0.2">
      <c r="A42" s="49">
        <v>16</v>
      </c>
      <c r="B42" s="116"/>
      <c r="C42" s="139"/>
      <c r="D42" s="137"/>
      <c r="E42" s="140"/>
      <c r="F42" s="43"/>
      <c r="G42" s="140"/>
      <c r="I42" s="212"/>
      <c r="K42" s="79">
        <f>IF(AND(C42&lt;&gt;"",E42&lt;&gt;"",G42&lt;&gt;"",I42&lt;&gt;""),0,IF(AND(C42="",E42="",G42="",I42=""),0,1))</f>
        <v>0</v>
      </c>
      <c r="L42" s="79">
        <f>IF(K42=0,0,A42)</f>
        <v>0</v>
      </c>
    </row>
    <row r="43" spans="1:12" ht="3.75" customHeight="1" x14ac:dyDescent="0.2">
      <c r="F43" s="104"/>
    </row>
    <row r="44" spans="1:12" x14ac:dyDescent="0.2">
      <c r="A44" s="49">
        <v>17</v>
      </c>
      <c r="B44" s="116"/>
      <c r="C44" s="139"/>
      <c r="D44" s="137"/>
      <c r="E44" s="140"/>
      <c r="F44" s="43"/>
      <c r="G44" s="140"/>
      <c r="I44" s="212"/>
      <c r="K44" s="79">
        <f>IF(AND(C44&lt;&gt;"",E44&lt;&gt;"",G44&lt;&gt;"",I44&lt;&gt;""),0,IF(AND(C44="",E44="",G44="",I44=""),0,1))</f>
        <v>0</v>
      </c>
      <c r="L44" s="79">
        <f>IF(K44=0,0,A44)</f>
        <v>0</v>
      </c>
    </row>
    <row r="45" spans="1:12" ht="3.75" customHeight="1" x14ac:dyDescent="0.2">
      <c r="F45" s="104"/>
    </row>
    <row r="46" spans="1:12" x14ac:dyDescent="0.2">
      <c r="A46" s="49">
        <v>18</v>
      </c>
      <c r="B46" s="116"/>
      <c r="C46" s="139"/>
      <c r="D46" s="137"/>
      <c r="E46" s="140"/>
      <c r="F46" s="43"/>
      <c r="G46" s="140"/>
      <c r="I46" s="212"/>
      <c r="K46" s="79">
        <f>IF(AND(C46&lt;&gt;"",E46&lt;&gt;"",G46&lt;&gt;"",I46&lt;&gt;""),0,IF(AND(C46="",E46="",G46="",I46=""),0,1))</f>
        <v>0</v>
      </c>
      <c r="L46" s="79">
        <f>IF(K46=0,0,A46)</f>
        <v>0</v>
      </c>
    </row>
    <row r="47" spans="1:12" ht="3.75" customHeight="1" x14ac:dyDescent="0.2">
      <c r="F47" s="104"/>
    </row>
    <row r="48" spans="1:12" x14ac:dyDescent="0.2">
      <c r="A48" s="49">
        <v>19</v>
      </c>
      <c r="B48" s="116"/>
      <c r="C48" s="139"/>
      <c r="D48" s="137"/>
      <c r="E48" s="140"/>
      <c r="F48" s="43"/>
      <c r="G48" s="140"/>
      <c r="I48" s="212"/>
      <c r="K48" s="79">
        <f>IF(AND(C48&lt;&gt;"",E48&lt;&gt;"",G48&lt;&gt;"",I48&lt;&gt;""),0,IF(AND(C48="",E48="",G48="",I48=""),0,1))</f>
        <v>0</v>
      </c>
      <c r="L48" s="79">
        <f>IF(K48=0,0,A48)</f>
        <v>0</v>
      </c>
    </row>
    <row r="49" spans="1:12" ht="3.75" customHeight="1" x14ac:dyDescent="0.2">
      <c r="F49" s="104"/>
    </row>
    <row r="50" spans="1:12" x14ac:dyDescent="0.2">
      <c r="A50" s="49">
        <v>20</v>
      </c>
      <c r="B50" s="116"/>
      <c r="C50" s="139"/>
      <c r="D50" s="137"/>
      <c r="E50" s="140"/>
      <c r="F50" s="43"/>
      <c r="G50" s="140"/>
      <c r="I50" s="212"/>
      <c r="K50" s="79">
        <f>IF(AND(C50&lt;&gt;"",E50&lt;&gt;"",G50&lt;&gt;"",I50&lt;&gt;""),0,IF(AND(C50="",E50="",G50="",I50=""),0,1))</f>
        <v>0</v>
      </c>
      <c r="L50" s="79">
        <f>IF(K50=0,0,A50)</f>
        <v>0</v>
      </c>
    </row>
  </sheetData>
  <sheetProtection password="F58B" sheet="1" objects="1" scenarios="1" formatCells="0" selectLockedCells="1"/>
  <mergeCells count="5">
    <mergeCell ref="A1:I1"/>
    <mergeCell ref="A3:C3"/>
    <mergeCell ref="G3:I3"/>
    <mergeCell ref="A5:C5"/>
    <mergeCell ref="A9:I9"/>
  </mergeCells>
  <phoneticPr fontId="3" type="noConversion"/>
  <conditionalFormatting sqref="G6">
    <cfRule type="cellIs" dxfId="24" priority="169" stopIfTrue="1" operator="equal">
      <formula>#REF!</formula>
    </cfRule>
  </conditionalFormatting>
  <conditionalFormatting sqref="C10">
    <cfRule type="cellIs" dxfId="23" priority="38" stopIfTrue="1" operator="equal">
      <formula>$L$10</formula>
    </cfRule>
  </conditionalFormatting>
  <conditionalFormatting sqref="E10">
    <cfRule type="cellIs" dxfId="22" priority="37" stopIfTrue="1" operator="equal">
      <formula>$M$10</formula>
    </cfRule>
  </conditionalFormatting>
  <conditionalFormatting sqref="G10">
    <cfRule type="cellIs" dxfId="21" priority="36" stopIfTrue="1" operator="equal">
      <formula>$N$10</formula>
    </cfRule>
  </conditionalFormatting>
  <conditionalFormatting sqref="I10">
    <cfRule type="cellIs" dxfId="20" priority="35" stopIfTrue="1" operator="equal">
      <formula>$O$10</formula>
    </cfRule>
  </conditionalFormatting>
  <conditionalFormatting sqref="A12">
    <cfRule type="cellIs" dxfId="19" priority="34" stopIfTrue="1" operator="equal">
      <formula>$L$12</formula>
    </cfRule>
  </conditionalFormatting>
  <conditionalFormatting sqref="A42">
    <cfRule type="cellIs" dxfId="18" priority="24" stopIfTrue="1" operator="equal">
      <formula>$L$42</formula>
    </cfRule>
  </conditionalFormatting>
  <conditionalFormatting sqref="A40">
    <cfRule type="cellIs" dxfId="17" priority="23" stopIfTrue="1" operator="equal">
      <formula>$L$40</formula>
    </cfRule>
  </conditionalFormatting>
  <conditionalFormatting sqref="A38">
    <cfRule type="cellIs" dxfId="16" priority="22" stopIfTrue="1" operator="equal">
      <formula>$L$38</formula>
    </cfRule>
  </conditionalFormatting>
  <conditionalFormatting sqref="A36">
    <cfRule type="cellIs" dxfId="15" priority="21" stopIfTrue="1" operator="equal">
      <formula>$L$36</formula>
    </cfRule>
  </conditionalFormatting>
  <conditionalFormatting sqref="A34">
    <cfRule type="cellIs" dxfId="14" priority="20" stopIfTrue="1" operator="equal">
      <formula>$L$34</formula>
    </cfRule>
  </conditionalFormatting>
  <conditionalFormatting sqref="A32">
    <cfRule type="cellIs" dxfId="13" priority="19" stopIfTrue="1" operator="equal">
      <formula>$L$32</formula>
    </cfRule>
  </conditionalFormatting>
  <conditionalFormatting sqref="A30">
    <cfRule type="cellIs" dxfId="12" priority="18" stopIfTrue="1" operator="equal">
      <formula>$L$30</formula>
    </cfRule>
  </conditionalFormatting>
  <conditionalFormatting sqref="A28">
    <cfRule type="cellIs" dxfId="11" priority="16" stopIfTrue="1" operator="equal">
      <formula>$L$28</formula>
    </cfRule>
  </conditionalFormatting>
  <conditionalFormatting sqref="A18">
    <cfRule type="cellIs" dxfId="10" priority="11" stopIfTrue="1" operator="equal">
      <formula>$L$18</formula>
    </cfRule>
  </conditionalFormatting>
  <conditionalFormatting sqref="A16">
    <cfRule type="cellIs" dxfId="9" priority="10" stopIfTrue="1" operator="equal">
      <formula>$L$16</formula>
    </cfRule>
  </conditionalFormatting>
  <conditionalFormatting sqref="A14">
    <cfRule type="cellIs" dxfId="8" priority="9" stopIfTrue="1" operator="equal">
      <formula>$L$14</formula>
    </cfRule>
  </conditionalFormatting>
  <conditionalFormatting sqref="A20">
    <cfRule type="cellIs" dxfId="7" priority="8" stopIfTrue="1" operator="equal">
      <formula>$L$20</formula>
    </cfRule>
  </conditionalFormatting>
  <conditionalFormatting sqref="A22">
    <cfRule type="cellIs" dxfId="6" priority="7" stopIfTrue="1" operator="equal">
      <formula>$L$22</formula>
    </cfRule>
  </conditionalFormatting>
  <conditionalFormatting sqref="A24">
    <cfRule type="cellIs" dxfId="5" priority="6" stopIfTrue="1" operator="equal">
      <formula>$L$24</formula>
    </cfRule>
  </conditionalFormatting>
  <conditionalFormatting sqref="A26">
    <cfRule type="cellIs" dxfId="4" priority="5" stopIfTrue="1" operator="equal">
      <formula>$L$26</formula>
    </cfRule>
  </conditionalFormatting>
  <conditionalFormatting sqref="A50">
    <cfRule type="cellIs" dxfId="3" priority="4" stopIfTrue="1" operator="equal">
      <formula>$L$42</formula>
    </cfRule>
  </conditionalFormatting>
  <conditionalFormatting sqref="A48">
    <cfRule type="cellIs" dxfId="2" priority="3" stopIfTrue="1" operator="equal">
      <formula>$L$40</formula>
    </cfRule>
  </conditionalFormatting>
  <conditionalFormatting sqref="A46">
    <cfRule type="cellIs" dxfId="1" priority="2" stopIfTrue="1" operator="equal">
      <formula>$L$38</formula>
    </cfRule>
  </conditionalFormatting>
  <conditionalFormatting sqref="A44">
    <cfRule type="cellIs" dxfId="0" priority="1" stopIfTrue="1" operator="equal">
      <formula>$L$36</formula>
    </cfRule>
  </conditionalFormatting>
  <dataValidations count="4">
    <dataValidation type="textLength" operator="lessThanOrEqual" allowBlank="1" showInputMessage="1" showErrorMessage="1" sqref="G26 G24 G22 G20 G18 G16 G14 G12 G42 G40 G38 G36 G34 G32 G30 G28 G50 G48 G46 G44">
      <formula1>250</formula1>
    </dataValidation>
    <dataValidation type="list" allowBlank="1" showInputMessage="1" showErrorMessage="1" sqref="C12 C42 C40 C38 C36 C34 C32 C30 C28 C26 C24 C22 C20 C18 C16 C14 C50 C48 C46 C44">
      <formula1>$K$2:$K$9</formula1>
    </dataValidation>
    <dataValidation type="textLength" operator="lessThanOrEqual" allowBlank="1" showInputMessage="1" showErrorMessage="1" sqref="E12 E14 E16 E18 E20 E22 E24 E26 E28 E30 E32 E34 E36 E38 E40 E42 E44 E46 E48 E50">
      <formula1>120</formula1>
    </dataValidation>
    <dataValidation type="textLength" operator="lessThanOrEqual" allowBlank="1" showInputMessage="1" showErrorMessage="1" sqref="I12 I14 I16 I18 I20 I22 I24 I26 I28 I30 I32 I34 I36 I38 I40 I42 I44 I46 I48 I50">
      <formula1>500</formula1>
    </dataValidation>
  </dataValidations>
  <pageMargins left="0.35433070866141736" right="0.19685039370078741" top="0.78740157480314965" bottom="0.31496062992125984" header="0.23622047244094491" footer="0.11811023622047245"/>
  <pageSetup scale="91" fitToHeight="3" orientation="landscape"/>
  <headerFooter>
    <oddFooter xml:space="preserve">&amp;C&amp;"Arial,Italic"&amp;8&amp;A&amp;R&amp;"Arial,Italic"&amp;8Page &amp;P of &amp;N </oddFooter>
  </headerFooter>
  <rowBreaks count="1" manualBreakCount="1">
    <brk id="12"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topLeftCell="A77" workbookViewId="0">
      <selection activeCell="C32" sqref="C32:E32"/>
    </sheetView>
  </sheetViews>
  <sheetFormatPr defaultColWidth="9.140625" defaultRowHeight="12.75" x14ac:dyDescent="0.2"/>
  <cols>
    <col min="1" max="2" width="14.85546875" style="3" customWidth="1"/>
    <col min="3" max="3" width="18.85546875" style="3" customWidth="1"/>
    <col min="4" max="4" width="10.7109375" style="3" customWidth="1"/>
    <col min="5" max="5" width="18.85546875" style="3" customWidth="1"/>
    <col min="6" max="6" width="12.140625" style="3" customWidth="1"/>
    <col min="7" max="7" width="24.140625" style="3" hidden="1" customWidth="1"/>
    <col min="8" max="8" width="18" style="3" hidden="1" customWidth="1"/>
    <col min="9" max="9" width="9.140625" style="3" hidden="1" customWidth="1"/>
    <col min="10" max="10" width="12.42578125" style="3" hidden="1" customWidth="1"/>
    <col min="11" max="14" width="9.140625" style="3" hidden="1" customWidth="1"/>
    <col min="15" max="16384" width="9.140625" style="3"/>
  </cols>
  <sheetData>
    <row r="1" spans="1:15" ht="6.75" hidden="1" customHeight="1" x14ac:dyDescent="0.2">
      <c r="G1" s="7" t="s">
        <v>102</v>
      </c>
      <c r="H1" s="3">
        <f>IF($C$11="Hungary",1,IF($C$11="Croatia",2,0))</f>
        <v>1</v>
      </c>
      <c r="J1" s="567" t="s">
        <v>44</v>
      </c>
      <c r="K1" s="677"/>
    </row>
    <row r="2" spans="1:15" ht="15.75" x14ac:dyDescent="0.25">
      <c r="A2" s="560" t="s">
        <v>349</v>
      </c>
      <c r="B2" s="561"/>
      <c r="C2" s="561"/>
      <c r="D2" s="561"/>
      <c r="E2" s="561"/>
      <c r="F2" s="561"/>
      <c r="G2" s="7" t="s">
        <v>103</v>
      </c>
      <c r="J2" t="s">
        <v>228</v>
      </c>
    </row>
    <row r="3" spans="1:15" ht="11.25" customHeight="1" x14ac:dyDescent="0.2">
      <c r="A3" s="14"/>
      <c r="G3" s="3" t="s">
        <v>104</v>
      </c>
      <c r="H3" s="3" t="str">
        <f>IF($H$1=1,G3,IF($H$1=2,G6,"-"))</f>
        <v>Baranya megye</v>
      </c>
      <c r="J3" t="s">
        <v>229</v>
      </c>
    </row>
    <row r="4" spans="1:15" ht="15" x14ac:dyDescent="0.25">
      <c r="A4" s="19" t="s">
        <v>34</v>
      </c>
      <c r="G4" s="3" t="s">
        <v>105</v>
      </c>
      <c r="H4" s="3" t="str">
        <f>IF($H$1=1,G4,IF($H$1=2,G7,"-"))</f>
        <v>Somogy megye</v>
      </c>
      <c r="J4" s="3" t="s">
        <v>232</v>
      </c>
    </row>
    <row r="5" spans="1:15" ht="46.5" customHeight="1" x14ac:dyDescent="0.2">
      <c r="A5" s="567" t="s">
        <v>181</v>
      </c>
      <c r="B5" s="571"/>
      <c r="C5" s="679" t="s">
        <v>663</v>
      </c>
      <c r="D5" s="689"/>
      <c r="E5" s="689"/>
      <c r="F5" s="690"/>
      <c r="G5" s="3" t="s">
        <v>106</v>
      </c>
      <c r="H5" s="3" t="str">
        <f>IF($H$1=1,G5,IF($H$1=2,G8,"-"))</f>
        <v>Zala megye</v>
      </c>
      <c r="I5" s="2" t="str">
        <f>IF(C5="",FALSE,A5)</f>
        <v>Official name of the organization in original language (max. 150 characters)</v>
      </c>
      <c r="J5" t="s">
        <v>230</v>
      </c>
    </row>
    <row r="6" spans="1:15" ht="6" customHeight="1" x14ac:dyDescent="0.2">
      <c r="A6" s="15"/>
      <c r="B6" s="12"/>
      <c r="C6" s="12"/>
      <c r="D6" s="12"/>
      <c r="E6" s="12"/>
      <c r="F6" s="12"/>
      <c r="G6" s="20" t="s">
        <v>107</v>
      </c>
      <c r="H6" s="3" t="str">
        <f>IF($H$1=1,"-",IF($H$1=2,G9,"-"))</f>
        <v>-</v>
      </c>
      <c r="J6" t="s">
        <v>153</v>
      </c>
    </row>
    <row r="7" spans="1:15" ht="46.5" customHeight="1" x14ac:dyDescent="0.2">
      <c r="A7" s="567" t="s">
        <v>163</v>
      </c>
      <c r="B7" s="667"/>
      <c r="C7" s="679" t="s">
        <v>664</v>
      </c>
      <c r="D7" s="689"/>
      <c r="E7" s="689"/>
      <c r="F7" s="690"/>
      <c r="G7" s="20" t="s">
        <v>108</v>
      </c>
      <c r="H7" s="3" t="str">
        <f>IF($H$1=1,"-",IF($H$1=2,G10,"-"))</f>
        <v>-</v>
      </c>
      <c r="I7" s="2" t="str">
        <f>IF(C7="",FALSE,A7)</f>
        <v>Official name of the organization in English (if exists) (max. 150 characters)</v>
      </c>
      <c r="J7" t="s">
        <v>231</v>
      </c>
    </row>
    <row r="8" spans="1:15" ht="6" customHeight="1" x14ac:dyDescent="0.2">
      <c r="A8" s="15"/>
      <c r="B8" s="12"/>
      <c r="C8" s="12"/>
      <c r="D8" s="12"/>
      <c r="E8" s="12"/>
      <c r="F8" s="12"/>
      <c r="G8" s="20" t="s">
        <v>109</v>
      </c>
      <c r="H8" s="3" t="str">
        <f>IF($H$1=1,"-",IF($H$1=2,G11,"-"))</f>
        <v>-</v>
      </c>
      <c r="J8" t="s">
        <v>156</v>
      </c>
    </row>
    <row r="9" spans="1:15" ht="25.5" customHeight="1" x14ac:dyDescent="0.2">
      <c r="A9" s="567" t="s">
        <v>180</v>
      </c>
      <c r="B9" s="571"/>
      <c r="C9" s="687" t="s">
        <v>665</v>
      </c>
      <c r="D9" s="695"/>
      <c r="E9" s="695"/>
      <c r="F9" s="696"/>
      <c r="G9" s="20" t="s">
        <v>110</v>
      </c>
      <c r="H9" s="3" t="str">
        <f>IF($H$1=1,"-",IF($H$1=2,G12,"-"))</f>
        <v>-</v>
      </c>
      <c r="I9" s="2" t="str">
        <f>IF(C9="",FALSE,A9)</f>
        <v>Abbreviated name (in original language) (max. 20 characters)</v>
      </c>
      <c r="J9" t="s">
        <v>160</v>
      </c>
      <c r="O9" s="151"/>
    </row>
    <row r="10" spans="1:15" ht="6" customHeight="1" thickBot="1" x14ac:dyDescent="0.25">
      <c r="A10" s="15"/>
      <c r="B10" s="12"/>
      <c r="C10" s="12"/>
      <c r="D10" s="12"/>
      <c r="E10" s="12"/>
      <c r="F10" s="12"/>
      <c r="G10" s="20" t="s">
        <v>111</v>
      </c>
      <c r="H10" s="3" t="str">
        <f>IF($H$1=1,"-",IF($H$1=2,G13,"-"))</f>
        <v>-</v>
      </c>
      <c r="J10" t="s">
        <v>154</v>
      </c>
    </row>
    <row r="11" spans="1:15" ht="12.75" customHeight="1" thickBot="1" x14ac:dyDescent="0.25">
      <c r="A11" s="567" t="s">
        <v>61</v>
      </c>
      <c r="B11" s="677"/>
      <c r="C11" s="209" t="str">
        <f>IF(OR(C13=G3,C13=G4,C13=G5),G1,IF(LEN(C13)&gt;5,G2,IF(LEN(C13)=5,C39,"")))</f>
        <v>Hungary</v>
      </c>
      <c r="D11" s="31"/>
      <c r="E11" s="684" t="s">
        <v>306</v>
      </c>
      <c r="F11" s="685"/>
      <c r="G11" s="20" t="s">
        <v>113</v>
      </c>
      <c r="I11" s="2" t="str">
        <f>IF(C11="",FALSE,A11)</f>
        <v>Country</v>
      </c>
      <c r="J11" t="s">
        <v>155</v>
      </c>
      <c r="K11" s="168" t="str">
        <f>IF(AND(LEN(C13)&gt;5,OR(C13=G3,C13=G4,C13=G5,C13=G6,C13=G7,C13=G8,C13=G9,C13=G10,C13=G11,C13=G12,C13=G13)),"",IF(C13="","",E11))</f>
        <v/>
      </c>
      <c r="L11" s="168" t="str">
        <f>IF(AND(LEN(C13)&gt;5,OR(C13=G3,C13=G4,C13=G5,C13=G6,C13=G7,C13=G8,C13=G9,C13=G10,C13=G11,C13=G12,C13=G13)),"",IF(C13="","","Lead Beneficiary is not eligible (adjacent or out of the programme area)!"))</f>
        <v/>
      </c>
    </row>
    <row r="12" spans="1:15" ht="6" customHeight="1" x14ac:dyDescent="0.2">
      <c r="A12" s="15"/>
      <c r="B12" s="12"/>
      <c r="C12" s="12"/>
      <c r="D12" s="12"/>
      <c r="E12" s="685"/>
      <c r="F12" s="685"/>
      <c r="G12" s="20" t="s">
        <v>114</v>
      </c>
      <c r="H12" s="3" t="s">
        <v>115</v>
      </c>
      <c r="J12" s="406" t="s">
        <v>401</v>
      </c>
    </row>
    <row r="13" spans="1:15" ht="12.75" customHeight="1" x14ac:dyDescent="0.2">
      <c r="A13" s="567" t="s">
        <v>112</v>
      </c>
      <c r="B13" s="677"/>
      <c r="C13" s="630" t="str">
        <f>IF(AND(ISTEXT(C72),C72&lt;&gt;"-",LEN(C41)&lt;=5,H70=C72),C72,IF(AND(ISTEXT(C41),C41&lt;&gt;"-",H39=C41),C41,""))</f>
        <v>Zala megye</v>
      </c>
      <c r="D13" s="639"/>
      <c r="E13" s="685"/>
      <c r="F13" s="685"/>
      <c r="G13" s="20" t="s">
        <v>116</v>
      </c>
      <c r="H13" s="3" t="s">
        <v>117</v>
      </c>
      <c r="I13" s="2" t="str">
        <f>IF(C13="",FALSE,IF(C13="-",FALSE,A13))</f>
        <v>NUTSIII or equivalent</v>
      </c>
      <c r="J13" s="406" t="s">
        <v>402</v>
      </c>
      <c r="K13" s="3" t="str">
        <f>IF(AND(ISTEXT(C72),C72&lt;&gt;"-"),C72,IF(AND(ISTEXT(C41),C41&lt;&gt;"-"),C41,""))</f>
        <v>Zala megye</v>
      </c>
    </row>
    <row r="14" spans="1:15" ht="6" customHeight="1" x14ac:dyDescent="0.2">
      <c r="A14" s="15"/>
      <c r="B14" s="12"/>
      <c r="C14" s="12"/>
      <c r="D14" s="12"/>
      <c r="E14" s="686"/>
      <c r="F14" s="686"/>
      <c r="G14" s="11" t="s">
        <v>148</v>
      </c>
      <c r="J14" s="1"/>
    </row>
    <row r="15" spans="1:15" ht="12.75" customHeight="1" x14ac:dyDescent="0.2">
      <c r="A15" s="567" t="s">
        <v>43</v>
      </c>
      <c r="B15" s="667"/>
      <c r="C15" s="568" t="s">
        <v>1</v>
      </c>
      <c r="D15" s="672"/>
      <c r="G15" s="3">
        <f>IF($C$11="Hungary",1,IF($C$11="Croatia",2,0))</f>
        <v>1</v>
      </c>
      <c r="H15" s="3" t="s">
        <v>1</v>
      </c>
      <c r="I15" s="2" t="str">
        <f>IF(C15="",FALSE,A15)</f>
        <v>Legal status</v>
      </c>
      <c r="J15" s="1"/>
    </row>
    <row r="16" spans="1:15" ht="6" customHeight="1" x14ac:dyDescent="0.2">
      <c r="A16" s="15"/>
      <c r="B16" s="12"/>
      <c r="C16" s="21"/>
      <c r="D16" s="29"/>
      <c r="E16" s="21"/>
      <c r="F16" s="12"/>
      <c r="H16" s="3" t="s">
        <v>2</v>
      </c>
      <c r="J16" s="1"/>
    </row>
    <row r="17" spans="1:9" ht="12.75" customHeight="1" x14ac:dyDescent="0.2">
      <c r="A17" s="567" t="s">
        <v>76</v>
      </c>
      <c r="B17" s="667"/>
      <c r="C17" s="301">
        <v>33054</v>
      </c>
      <c r="D17" s="692" t="s">
        <v>0</v>
      </c>
      <c r="E17" s="693"/>
      <c r="I17" s="2" t="str">
        <f>IF(C17="",FALSE,A17)</f>
        <v>Date of foundation</v>
      </c>
    </row>
    <row r="18" spans="1:9" ht="6" customHeight="1" x14ac:dyDescent="0.2">
      <c r="A18" s="15"/>
      <c r="B18" s="12"/>
      <c r="C18" s="21"/>
      <c r="D18" s="12"/>
      <c r="E18" s="21"/>
      <c r="F18" s="12"/>
    </row>
    <row r="19" spans="1:9" ht="46.5" customHeight="1" x14ac:dyDescent="0.2">
      <c r="A19" s="567" t="s">
        <v>182</v>
      </c>
      <c r="B19" s="667"/>
      <c r="C19" s="679" t="s">
        <v>666</v>
      </c>
      <c r="D19" s="689"/>
      <c r="E19" s="689"/>
      <c r="F19" s="690"/>
      <c r="G19" s="30" t="s">
        <v>126</v>
      </c>
      <c r="I19" s="2" t="str">
        <f>IF(C19="",FALSE,A19)</f>
        <v>Founder organisation (max. 150 characters)</v>
      </c>
    </row>
    <row r="20" spans="1:9" ht="6" customHeight="1" x14ac:dyDescent="0.2">
      <c r="A20" s="15"/>
      <c r="B20" s="12"/>
      <c r="C20" s="21"/>
      <c r="D20" s="12"/>
      <c r="E20" s="21"/>
      <c r="F20" s="12"/>
      <c r="G20" s="30" t="s">
        <v>128</v>
      </c>
    </row>
    <row r="21" spans="1:9" ht="12.75" customHeight="1" x14ac:dyDescent="0.2">
      <c r="A21" s="567" t="s">
        <v>44</v>
      </c>
      <c r="B21" s="677"/>
      <c r="C21" s="568" t="s">
        <v>229</v>
      </c>
      <c r="D21" s="691"/>
      <c r="E21" s="691"/>
      <c r="F21" s="582"/>
      <c r="G21" s="30" t="s">
        <v>127</v>
      </c>
      <c r="I21" s="2" t="str">
        <f>IF(C21="",FALSE,A21)</f>
        <v>Type of institution</v>
      </c>
    </row>
    <row r="22" spans="1:9" ht="6" customHeight="1" x14ac:dyDescent="0.2">
      <c r="A22" s="15"/>
      <c r="B22" s="12"/>
      <c r="C22" s="21"/>
      <c r="D22" s="12"/>
      <c r="E22" s="21"/>
      <c r="F22" s="12"/>
    </row>
    <row r="23" spans="1:9" ht="12.75" customHeight="1" x14ac:dyDescent="0.2">
      <c r="A23" s="567" t="s">
        <v>66</v>
      </c>
      <c r="B23" s="667"/>
      <c r="C23" s="687" t="s">
        <v>667</v>
      </c>
      <c r="D23" s="688"/>
      <c r="E23" s="694" t="s">
        <v>159</v>
      </c>
      <c r="F23" s="619"/>
      <c r="I23" s="2" t="str">
        <f>IF(C23="",FALSE,A23)</f>
        <v>National tax number</v>
      </c>
    </row>
    <row r="24" spans="1:9" ht="6" customHeight="1" x14ac:dyDescent="0.2">
      <c r="A24" s="15"/>
      <c r="B24" s="12"/>
      <c r="C24" s="21"/>
      <c r="D24" s="12"/>
      <c r="E24" s="21"/>
      <c r="F24" s="12"/>
    </row>
    <row r="25" spans="1:9" ht="12.75" customHeight="1" x14ac:dyDescent="0.2">
      <c r="A25" s="567" t="s">
        <v>334</v>
      </c>
      <c r="B25" s="667"/>
      <c r="C25" s="687" t="s">
        <v>667</v>
      </c>
      <c r="D25" s="688"/>
      <c r="I25" s="2" t="str">
        <f>IF(C25="",FALSE,A25)</f>
        <v>EU tax number</v>
      </c>
    </row>
    <row r="26" spans="1:9" ht="6" customHeight="1" x14ac:dyDescent="0.2">
      <c r="A26" s="15"/>
      <c r="B26" s="12"/>
      <c r="C26" s="21"/>
      <c r="D26" s="12"/>
      <c r="E26" s="21"/>
      <c r="F26" s="12"/>
    </row>
    <row r="27" spans="1:9" ht="12.75" customHeight="1" x14ac:dyDescent="0.2">
      <c r="A27" s="567" t="s">
        <v>65</v>
      </c>
      <c r="B27" s="667"/>
      <c r="C27" s="687" t="s">
        <v>668</v>
      </c>
      <c r="D27" s="688"/>
      <c r="I27" s="2" t="str">
        <f>IF(C27="",FALSE,A27)</f>
        <v>Registry number</v>
      </c>
    </row>
    <row r="28" spans="1:9" ht="3" customHeight="1" x14ac:dyDescent="0.2">
      <c r="A28" s="15"/>
      <c r="B28" s="15"/>
      <c r="C28" s="31"/>
      <c r="D28" s="33"/>
      <c r="I28" s="2"/>
    </row>
    <row r="29" spans="1:9" ht="10.5" customHeight="1" x14ac:dyDescent="0.2">
      <c r="A29" s="15"/>
      <c r="B29" s="12"/>
      <c r="C29" s="21"/>
      <c r="D29" s="12"/>
      <c r="E29" s="21"/>
      <c r="F29" s="12"/>
      <c r="G29" s="7" t="s">
        <v>102</v>
      </c>
      <c r="H29" s="3">
        <f>IF($C$39="Hungary",1,IF($C$39="Croatia",2,0))</f>
        <v>1</v>
      </c>
    </row>
    <row r="30" spans="1:9" ht="19.5" customHeight="1" x14ac:dyDescent="0.2">
      <c r="A30" s="663" t="s">
        <v>75</v>
      </c>
      <c r="B30" s="682"/>
      <c r="C30" s="683"/>
      <c r="D30" s="683"/>
      <c r="E30" s="21"/>
      <c r="F30" s="12"/>
      <c r="G30" s="7" t="s">
        <v>103</v>
      </c>
      <c r="H30" s="3" t="s">
        <v>157</v>
      </c>
    </row>
    <row r="31" spans="1:9" ht="6" customHeight="1" x14ac:dyDescent="0.2">
      <c r="A31" s="15"/>
      <c r="B31" s="12"/>
      <c r="C31" s="21"/>
      <c r="D31" s="12"/>
      <c r="E31" s="21"/>
      <c r="F31" s="12"/>
      <c r="G31" s="3" t="s">
        <v>104</v>
      </c>
      <c r="H31" s="3" t="str">
        <f>IF($H$29=1,G31,IF($H$29=2,G34,"-"))</f>
        <v>Baranya megye</v>
      </c>
    </row>
    <row r="32" spans="1:9" ht="25.5" customHeight="1" x14ac:dyDescent="0.2">
      <c r="A32" s="567" t="s">
        <v>118</v>
      </c>
      <c r="B32" s="567"/>
      <c r="C32" s="679" t="s">
        <v>669</v>
      </c>
      <c r="D32" s="680"/>
      <c r="E32" s="681"/>
      <c r="F32" s="12" t="s">
        <v>119</v>
      </c>
      <c r="G32" s="3" t="s">
        <v>105</v>
      </c>
      <c r="H32" s="3" t="str">
        <f>IF($H$29=1,G32,IF($H$29=2,G35,"-"))</f>
        <v>Somogy megye</v>
      </c>
      <c r="I32" s="2" t="str">
        <f>IF(AND(C32&lt;&gt;"",C34&lt;&gt;"",E34&lt;&gt;"")=TRUE,A32,0)</f>
        <v>Address (permanent residence)</v>
      </c>
    </row>
    <row r="33" spans="1:9" ht="6" customHeight="1" x14ac:dyDescent="0.2">
      <c r="A33" s="567"/>
      <c r="B33" s="567"/>
      <c r="C33" s="12"/>
      <c r="D33" s="22"/>
      <c r="E33" s="22"/>
      <c r="F33" s="12"/>
      <c r="G33" s="3" t="s">
        <v>106</v>
      </c>
      <c r="H33" s="3" t="str">
        <f>IF($H$29=1,G33,IF($H$29=2,G36,"-"))</f>
        <v>Zala megye</v>
      </c>
    </row>
    <row r="34" spans="1:9" ht="25.5" x14ac:dyDescent="0.2">
      <c r="A34" s="567"/>
      <c r="B34" s="567"/>
      <c r="C34" s="23">
        <v>8868</v>
      </c>
      <c r="D34" s="12" t="s">
        <v>46</v>
      </c>
      <c r="E34" s="507" t="s">
        <v>665</v>
      </c>
      <c r="F34" s="12" t="s">
        <v>45</v>
      </c>
      <c r="G34" s="20" t="s">
        <v>107</v>
      </c>
      <c r="H34" s="3" t="str">
        <f>IF($H$29=1,"-",IF($H$29=2,G37,"-"))</f>
        <v>-</v>
      </c>
    </row>
    <row r="35" spans="1:9" ht="6" customHeight="1" x14ac:dyDescent="0.2">
      <c r="A35" s="15"/>
      <c r="B35" s="15"/>
      <c r="C35" s="31"/>
      <c r="D35" s="12"/>
      <c r="E35" s="32"/>
      <c r="F35" s="12"/>
      <c r="G35" s="20" t="s">
        <v>108</v>
      </c>
      <c r="H35" s="3" t="str">
        <f>IF($H$29=1,"-",IF($H$29=2,G38,"-"))</f>
        <v>-</v>
      </c>
    </row>
    <row r="36" spans="1:9" ht="12.75" customHeight="1" x14ac:dyDescent="0.2">
      <c r="A36" s="15"/>
      <c r="B36" s="15"/>
      <c r="C36" s="23"/>
      <c r="D36" s="12" t="s">
        <v>129</v>
      </c>
      <c r="E36" s="32"/>
      <c r="F36" s="12"/>
      <c r="G36" s="20" t="s">
        <v>109</v>
      </c>
      <c r="H36" s="3" t="str">
        <f>IF($H$29=1,"-",IF($H$29=2,G39,"-"))</f>
        <v>-</v>
      </c>
    </row>
    <row r="37" spans="1:9" ht="6" customHeight="1" x14ac:dyDescent="0.2">
      <c r="A37" s="18"/>
      <c r="B37" s="18"/>
      <c r="C37" s="12"/>
      <c r="D37" s="12"/>
      <c r="E37" s="25"/>
      <c r="F37" s="12"/>
      <c r="G37" s="20" t="s">
        <v>110</v>
      </c>
      <c r="H37" s="3" t="str">
        <f>IF($H$29=1,"-",IF($H$29=2,G40,"-"))</f>
        <v>-</v>
      </c>
    </row>
    <row r="38" spans="1:9" ht="6" customHeight="1" x14ac:dyDescent="0.2">
      <c r="A38" s="15"/>
      <c r="B38" s="12"/>
      <c r="C38" s="12"/>
      <c r="D38" s="12"/>
      <c r="E38" s="12"/>
      <c r="F38" s="12"/>
      <c r="G38" s="20" t="s">
        <v>111</v>
      </c>
      <c r="H38" s="3" t="str">
        <f>IF($H$29=1,"-",IF($H$29=2,G41,"-"))</f>
        <v>-</v>
      </c>
    </row>
    <row r="39" spans="1:9" ht="12.75" customHeight="1" x14ac:dyDescent="0.2">
      <c r="A39" s="567" t="s">
        <v>61</v>
      </c>
      <c r="B39" s="677"/>
      <c r="C39" s="65" t="s">
        <v>102</v>
      </c>
      <c r="D39" s="31"/>
      <c r="E39" s="31"/>
      <c r="F39" s="31"/>
      <c r="G39" s="20" t="s">
        <v>113</v>
      </c>
      <c r="H39" s="219" t="str">
        <f>IF(OR(LEN(C41)=LEN(H30),LEN(C41)=LEN(H31),LEN(C41)=LEN(H32),LEN(C41)=LEN(H33),LEN(C41)=LEN(H34),LEN(C41)=LEN(H35),LEN(C41)=LEN(H36),LEN(C41)=LEN(H37),LEN(C41)=LEN(H38)),C41,0)</f>
        <v>Zala megye</v>
      </c>
      <c r="I39" s="2" t="str">
        <f>IF(C39="",FALSE,A39)</f>
        <v>Country</v>
      </c>
    </row>
    <row r="40" spans="1:9" ht="6" customHeight="1" x14ac:dyDescent="0.2">
      <c r="A40" s="15"/>
      <c r="B40" s="12"/>
      <c r="C40" s="12"/>
      <c r="D40" s="12"/>
      <c r="E40" s="12"/>
      <c r="F40" s="12"/>
      <c r="G40" s="20" t="s">
        <v>114</v>
      </c>
      <c r="H40" s="3" t="s">
        <v>115</v>
      </c>
    </row>
    <row r="41" spans="1:9" ht="12.75" customHeight="1" x14ac:dyDescent="0.2">
      <c r="A41" s="567" t="s">
        <v>112</v>
      </c>
      <c r="B41" s="677"/>
      <c r="C41" s="568" t="s">
        <v>106</v>
      </c>
      <c r="D41" s="672"/>
      <c r="F41" s="31"/>
      <c r="G41" s="20" t="s">
        <v>116</v>
      </c>
      <c r="H41" s="3" t="s">
        <v>117</v>
      </c>
      <c r="I41" s="220" t="str">
        <f>IF(C41="",FALSE,IF(C41="-",FALSE,IF(H39&lt;&gt;C41,FALSE,A41)))</f>
        <v>NUTSIII or equivalent</v>
      </c>
    </row>
    <row r="42" spans="1:9" ht="6" customHeight="1" x14ac:dyDescent="0.2">
      <c r="A42" s="18"/>
      <c r="B42" s="18"/>
      <c r="C42" s="12"/>
      <c r="D42" s="12"/>
      <c r="E42" s="25"/>
      <c r="F42" s="12"/>
      <c r="G42" s="11" t="e">
        <f>MID(#REF!,1,1)</f>
        <v>#REF!</v>
      </c>
    </row>
    <row r="43" spans="1:9" ht="12.75" customHeight="1" x14ac:dyDescent="0.2">
      <c r="A43" s="567" t="s">
        <v>47</v>
      </c>
      <c r="B43" s="571"/>
      <c r="C43" s="673" t="s">
        <v>670</v>
      </c>
      <c r="D43" s="573"/>
      <c r="E43" s="573"/>
      <c r="F43" s="574"/>
      <c r="G43" s="7"/>
      <c r="I43" s="2" t="str">
        <f>IF(C43="",FALSE,IF(C43="-",FALSE,A43))</f>
        <v>Web</v>
      </c>
    </row>
    <row r="44" spans="1:9" x14ac:dyDescent="0.2">
      <c r="A44" s="15"/>
      <c r="B44" s="12"/>
      <c r="C44" s="35"/>
      <c r="D44" s="34"/>
      <c r="E44" s="34"/>
      <c r="F44" s="34"/>
      <c r="G44" s="7"/>
      <c r="I44" s="2"/>
    </row>
    <row r="45" spans="1:9" ht="10.5" customHeight="1" x14ac:dyDescent="0.2">
      <c r="A45" s="15"/>
      <c r="B45" s="12"/>
      <c r="C45" s="21"/>
      <c r="D45" s="12"/>
      <c r="E45" s="21"/>
      <c r="F45" s="12"/>
      <c r="G45" s="7" t="s">
        <v>102</v>
      </c>
      <c r="H45" s="3">
        <f>IF($C$55="Hungary",1,IF($C$55="Croatia",2,0))</f>
        <v>1</v>
      </c>
    </row>
    <row r="46" spans="1:9" ht="19.5" customHeight="1" x14ac:dyDescent="0.2">
      <c r="A46" s="674" t="s">
        <v>131</v>
      </c>
      <c r="B46" s="675"/>
      <c r="C46" s="676"/>
      <c r="D46" s="676"/>
      <c r="E46" s="21"/>
      <c r="F46" s="12"/>
      <c r="G46" s="7" t="s">
        <v>103</v>
      </c>
      <c r="H46" s="3" t="s">
        <v>157</v>
      </c>
    </row>
    <row r="47" spans="1:9" ht="6" customHeight="1" x14ac:dyDescent="0.2">
      <c r="A47" s="15"/>
      <c r="B47" s="12"/>
      <c r="C47" s="21"/>
      <c r="D47" s="12"/>
      <c r="E47" s="21"/>
      <c r="F47" s="12"/>
      <c r="G47" s="3" t="s">
        <v>104</v>
      </c>
      <c r="H47" s="3" t="str">
        <f>IF($H$45=1,G47,IF($H$45=2,G50,"-"))</f>
        <v>Baranya megye</v>
      </c>
    </row>
    <row r="48" spans="1:9" ht="25.5" customHeight="1" x14ac:dyDescent="0.2">
      <c r="A48" s="567" t="s">
        <v>118</v>
      </c>
      <c r="B48" s="567"/>
      <c r="C48" s="679" t="s">
        <v>669</v>
      </c>
      <c r="D48" s="680"/>
      <c r="E48" s="681"/>
      <c r="F48" s="12" t="s">
        <v>119</v>
      </c>
      <c r="G48" s="3" t="s">
        <v>105</v>
      </c>
      <c r="H48" s="3" t="str">
        <f>IF($H$45=1,G48,IF($H$45=2,G51,"-"))</f>
        <v>Somogy megye</v>
      </c>
      <c r="I48" s="2" t="str">
        <f>IF(AND(C48&lt;&gt;"",C50&lt;&gt;"",E50&lt;&gt;"")=TRUE,A48,0)</f>
        <v>Address (permanent residence)</v>
      </c>
    </row>
    <row r="49" spans="1:9" ht="6" customHeight="1" x14ac:dyDescent="0.2">
      <c r="A49" s="567"/>
      <c r="B49" s="567"/>
      <c r="C49" s="12"/>
      <c r="D49" s="22"/>
      <c r="E49" s="22"/>
      <c r="F49" s="12"/>
      <c r="G49" s="3" t="s">
        <v>106</v>
      </c>
      <c r="H49" s="3" t="str">
        <f>IF($H$45=1,G49,IF($H$45=2,G52,"-"))</f>
        <v>Zala megye</v>
      </c>
    </row>
    <row r="50" spans="1:9" ht="25.5" x14ac:dyDescent="0.2">
      <c r="A50" s="567"/>
      <c r="B50" s="567"/>
      <c r="C50" s="23">
        <v>8868</v>
      </c>
      <c r="D50" s="12" t="s">
        <v>46</v>
      </c>
      <c r="E50" s="507" t="s">
        <v>665</v>
      </c>
      <c r="F50" s="12" t="s">
        <v>45</v>
      </c>
      <c r="G50" s="20" t="s">
        <v>107</v>
      </c>
      <c r="H50" s="3" t="str">
        <f>IF($H$45=1,"-",IF($H$45=2,G53,"-"))</f>
        <v>-</v>
      </c>
    </row>
    <row r="51" spans="1:9" ht="6" customHeight="1" x14ac:dyDescent="0.2">
      <c r="A51" s="15"/>
      <c r="B51" s="15"/>
      <c r="C51" s="31"/>
      <c r="D51" s="12"/>
      <c r="E51" s="32"/>
      <c r="F51" s="12"/>
      <c r="G51" s="20" t="s">
        <v>108</v>
      </c>
      <c r="H51" s="3" t="str">
        <f>IF($H$45=1,"-",IF($H$45=2,G54,"-"))</f>
        <v>-</v>
      </c>
    </row>
    <row r="52" spans="1:9" ht="12.75" customHeight="1" x14ac:dyDescent="0.2">
      <c r="A52" s="15"/>
      <c r="B52" s="15"/>
      <c r="C52" s="23"/>
      <c r="D52" s="12" t="s">
        <v>129</v>
      </c>
      <c r="E52" s="32"/>
      <c r="F52" s="12"/>
      <c r="G52" s="20" t="s">
        <v>109</v>
      </c>
      <c r="H52" s="3" t="str">
        <f>IF($H$45=1,"-",IF($H$45=2,G55,"-"))</f>
        <v>-</v>
      </c>
    </row>
    <row r="53" spans="1:9" ht="6" customHeight="1" x14ac:dyDescent="0.2">
      <c r="A53" s="18"/>
      <c r="B53" s="18"/>
      <c r="C53" s="12"/>
      <c r="D53" s="12"/>
      <c r="E53" s="25"/>
      <c r="F53" s="12"/>
      <c r="G53" s="20" t="s">
        <v>110</v>
      </c>
      <c r="H53" s="3" t="str">
        <f>IF($H$45=1,"-",IF($H$45=2,G56,"-"))</f>
        <v>-</v>
      </c>
    </row>
    <row r="54" spans="1:9" ht="6" customHeight="1" x14ac:dyDescent="0.2">
      <c r="A54" s="15"/>
      <c r="B54" s="12"/>
      <c r="C54" s="12"/>
      <c r="D54" s="12"/>
      <c r="E54" s="12"/>
      <c r="F54" s="12"/>
      <c r="G54" s="20" t="s">
        <v>111</v>
      </c>
      <c r="H54" s="3" t="str">
        <f>IF($H$45=1,"-",IF($H$45=2,G57,"-"))</f>
        <v>-</v>
      </c>
    </row>
    <row r="55" spans="1:9" ht="12.75" customHeight="1" x14ac:dyDescent="0.2">
      <c r="A55" s="567" t="s">
        <v>61</v>
      </c>
      <c r="B55" s="677"/>
      <c r="C55" s="65" t="s">
        <v>102</v>
      </c>
      <c r="D55" s="31"/>
      <c r="E55" s="31"/>
      <c r="F55" s="31"/>
      <c r="G55" s="20" t="s">
        <v>113</v>
      </c>
      <c r="H55" s="219" t="str">
        <f>IF(OR(LEN(C57)=LEN(H46),LEN(C57)=LEN(H47),LEN(C57)=LEN(H48),LEN(C57)=LEN(H49),LEN(C57)=LEN(H50),LEN(C57)=LEN(H51),LEN(C57)=LEN(H52),LEN(C57)=LEN(H53),LEN(C57)=LEN(H54)),C57,0)</f>
        <v>Zala megye</v>
      </c>
      <c r="I55" s="2" t="str">
        <f>IF(C55="",FALSE,A55)</f>
        <v>Country</v>
      </c>
    </row>
    <row r="56" spans="1:9" ht="6" customHeight="1" x14ac:dyDescent="0.2">
      <c r="A56" s="15"/>
      <c r="B56" s="12"/>
      <c r="C56" s="12"/>
      <c r="D56" s="12"/>
      <c r="E56" s="12"/>
      <c r="F56" s="12"/>
      <c r="G56" s="20" t="s">
        <v>114</v>
      </c>
      <c r="H56" s="3" t="s">
        <v>115</v>
      </c>
    </row>
    <row r="57" spans="1:9" ht="12.75" customHeight="1" x14ac:dyDescent="0.2">
      <c r="A57" s="567" t="s">
        <v>112</v>
      </c>
      <c r="B57" s="677"/>
      <c r="C57" s="568" t="s">
        <v>106</v>
      </c>
      <c r="D57" s="672"/>
      <c r="F57" s="31"/>
      <c r="G57" s="20" t="s">
        <v>116</v>
      </c>
      <c r="H57" s="3" t="s">
        <v>117</v>
      </c>
      <c r="I57" s="220" t="str">
        <f>IF(C57="",FALSE,IF(C57="-",FALSE,IF(H55&lt;&gt;C57,FALSE,A57)))</f>
        <v>NUTSIII or equivalent</v>
      </c>
    </row>
    <row r="58" spans="1:9" ht="6" customHeight="1" x14ac:dyDescent="0.2">
      <c r="A58" s="18"/>
      <c r="B58" s="18"/>
      <c r="C58" s="12"/>
      <c r="D58" s="12"/>
      <c r="E58" s="25"/>
      <c r="F58" s="12"/>
      <c r="G58" s="11" t="e">
        <f>MID(#REF!,1,1)</f>
        <v>#REF!</v>
      </c>
    </row>
    <row r="59" spans="1:9" ht="15" customHeight="1" x14ac:dyDescent="0.2">
      <c r="A59" s="18"/>
      <c r="B59" s="18"/>
      <c r="C59" s="12"/>
      <c r="D59" s="12"/>
      <c r="E59" s="25"/>
      <c r="F59" s="12"/>
      <c r="G59" s="11" t="s">
        <v>130</v>
      </c>
    </row>
    <row r="60" spans="1:9" ht="10.5" customHeight="1" x14ac:dyDescent="0.2">
      <c r="A60" s="15"/>
      <c r="B60" s="12"/>
      <c r="C60" s="21"/>
      <c r="D60" s="12"/>
      <c r="E60" s="21"/>
      <c r="F60" s="12"/>
      <c r="G60" s="7" t="s">
        <v>102</v>
      </c>
      <c r="H60" s="3">
        <f>IF($C$70="Hungary",1,IF($C$70="Croatia",2,0))</f>
        <v>0</v>
      </c>
    </row>
    <row r="61" spans="1:9" ht="19.5" customHeight="1" x14ac:dyDescent="0.2">
      <c r="A61" s="674" t="s">
        <v>74</v>
      </c>
      <c r="B61" s="675"/>
      <c r="C61" s="676"/>
      <c r="D61" s="676"/>
      <c r="E61" s="21"/>
      <c r="F61" s="12"/>
      <c r="G61" s="7" t="s">
        <v>103</v>
      </c>
    </row>
    <row r="62" spans="1:9" ht="6" customHeight="1" x14ac:dyDescent="0.2">
      <c r="A62" s="15"/>
      <c r="B62" s="12"/>
      <c r="C62" s="21"/>
      <c r="D62" s="12"/>
      <c r="E62" s="21"/>
      <c r="F62" s="12"/>
      <c r="G62" s="3" t="s">
        <v>104</v>
      </c>
      <c r="H62" s="3" t="str">
        <f>IF($H$60=1,G62,IF($H$60=2,G65,"-"))</f>
        <v>-</v>
      </c>
    </row>
    <row r="63" spans="1:9" ht="25.5" customHeight="1" x14ac:dyDescent="0.2">
      <c r="A63" s="567" t="s">
        <v>118</v>
      </c>
      <c r="B63" s="567"/>
      <c r="C63" s="679" t="s">
        <v>931</v>
      </c>
      <c r="D63" s="680"/>
      <c r="E63" s="681"/>
      <c r="F63" s="12" t="s">
        <v>119</v>
      </c>
      <c r="G63" s="3" t="s">
        <v>105</v>
      </c>
      <c r="H63" s="3" t="str">
        <f>IF($H$60=1,G63,IF($H$60=2,G66,"-"))</f>
        <v>-</v>
      </c>
      <c r="I63" s="2">
        <f>IF(AND(C63&lt;&gt;"",C65&lt;&gt;"",E65&lt;&gt;"")=TRUE,A63,0)</f>
        <v>0</v>
      </c>
    </row>
    <row r="64" spans="1:9" ht="6" customHeight="1" x14ac:dyDescent="0.2">
      <c r="A64" s="567"/>
      <c r="B64" s="567"/>
      <c r="C64" s="12"/>
      <c r="D64" s="22"/>
      <c r="E64" s="22"/>
      <c r="F64" s="12"/>
      <c r="G64" s="3" t="s">
        <v>106</v>
      </c>
      <c r="H64" s="3" t="str">
        <f>IF($H$60=1,G64,IF($H$60=2,G67,"-"))</f>
        <v>-</v>
      </c>
    </row>
    <row r="65" spans="1:9" ht="25.5" x14ac:dyDescent="0.2">
      <c r="A65" s="567"/>
      <c r="B65" s="567"/>
      <c r="C65" s="23"/>
      <c r="D65" s="12" t="s">
        <v>46</v>
      </c>
      <c r="E65" s="24"/>
      <c r="F65" s="12" t="s">
        <v>45</v>
      </c>
      <c r="G65" s="20" t="s">
        <v>107</v>
      </c>
      <c r="H65" s="3" t="str">
        <f>IF($H$60=1,"-",IF($H$60=2,G68,"-"))</f>
        <v>-</v>
      </c>
    </row>
    <row r="66" spans="1:9" ht="6" customHeight="1" x14ac:dyDescent="0.2">
      <c r="A66" s="15"/>
      <c r="B66" s="15"/>
      <c r="C66" s="31"/>
      <c r="D66" s="12"/>
      <c r="E66" s="32"/>
      <c r="F66" s="12"/>
      <c r="G66" s="20" t="s">
        <v>108</v>
      </c>
      <c r="H66" s="3" t="str">
        <f>IF($H$60=1,"-",IF($H$60=2,G69,"-"))</f>
        <v>-</v>
      </c>
    </row>
    <row r="67" spans="1:9" ht="12.75" customHeight="1" x14ac:dyDescent="0.2">
      <c r="A67" s="15"/>
      <c r="B67" s="15"/>
      <c r="C67" s="23"/>
      <c r="D67" s="12" t="s">
        <v>129</v>
      </c>
      <c r="E67" s="32"/>
      <c r="F67" s="12"/>
      <c r="G67" s="20" t="s">
        <v>109</v>
      </c>
      <c r="H67" s="3" t="str">
        <f>IF($H$60=1,"-",IF($H$60=2,G70,"-"))</f>
        <v>-</v>
      </c>
    </row>
    <row r="68" spans="1:9" ht="6" customHeight="1" x14ac:dyDescent="0.2">
      <c r="A68" s="18"/>
      <c r="B68" s="18"/>
      <c r="C68" s="12"/>
      <c r="D68" s="12"/>
      <c r="E68" s="25"/>
      <c r="F68" s="12"/>
      <c r="G68" s="20" t="s">
        <v>110</v>
      </c>
      <c r="H68" s="3" t="str">
        <f>IF($H$60=1,"-",IF($H$60=2,G71,"-"))</f>
        <v>-</v>
      </c>
    </row>
    <row r="69" spans="1:9" ht="6" customHeight="1" x14ac:dyDescent="0.2">
      <c r="A69" s="15"/>
      <c r="B69" s="12"/>
      <c r="C69" s="12"/>
      <c r="D69" s="12"/>
      <c r="E69" s="12"/>
      <c r="F69" s="12"/>
      <c r="G69" s="20" t="s">
        <v>111</v>
      </c>
      <c r="H69" s="3" t="str">
        <f>IF($H$60=1,"-",IF($H$60=2,G72,"-"))</f>
        <v>-</v>
      </c>
    </row>
    <row r="70" spans="1:9" ht="12.75" customHeight="1" x14ac:dyDescent="0.2">
      <c r="A70" s="567" t="s">
        <v>61</v>
      </c>
      <c r="B70" s="677"/>
      <c r="C70" s="65"/>
      <c r="D70" s="31"/>
      <c r="E70" s="31"/>
      <c r="F70" s="31"/>
      <c r="G70" s="20" t="s">
        <v>113</v>
      </c>
      <c r="H70" s="219">
        <f>IF(OR(LEN(C72)=LEN(H61),LEN(C72)=LEN(H62),LEN(C72)=LEN(H63),LEN(C72)=LEN(H64),LEN(C72)=LEN(H65),LEN(C72)=LEN(H66),LEN(C72)=LEN(H67),LEN(C72)=LEN(H68),LEN(C72)=LEN(H69)),C72,0)</f>
        <v>0</v>
      </c>
      <c r="I70" s="2" t="b">
        <f>IF(C70="",FALSE,A70)</f>
        <v>0</v>
      </c>
    </row>
    <row r="71" spans="1:9" ht="6" customHeight="1" x14ac:dyDescent="0.2">
      <c r="A71" s="15"/>
      <c r="B71" s="12"/>
      <c r="C71" s="12"/>
      <c r="D71" s="12"/>
      <c r="E71" s="12"/>
      <c r="F71" s="12"/>
      <c r="G71" s="20" t="s">
        <v>114</v>
      </c>
      <c r="H71" s="3" t="s">
        <v>115</v>
      </c>
    </row>
    <row r="72" spans="1:9" ht="12.75" customHeight="1" x14ac:dyDescent="0.2">
      <c r="A72" s="567" t="s">
        <v>112</v>
      </c>
      <c r="B72" s="677"/>
      <c r="C72" s="568"/>
      <c r="D72" s="672"/>
      <c r="F72" s="31"/>
      <c r="G72" s="20" t="s">
        <v>116</v>
      </c>
      <c r="H72" s="3" t="s">
        <v>117</v>
      </c>
      <c r="I72" s="220" t="b">
        <f>IF(C72="",FALSE,IF(H70&lt;&gt;C72,FALSE,A72))</f>
        <v>0</v>
      </c>
    </row>
    <row r="73" spans="1:9" ht="6" customHeight="1" x14ac:dyDescent="0.2">
      <c r="A73" s="18"/>
      <c r="B73" s="18"/>
      <c r="C73" s="12"/>
      <c r="D73" s="12"/>
      <c r="E73" s="25"/>
      <c r="F73" s="12"/>
      <c r="G73" s="11" t="e">
        <f>MID(#REF!,1,1)</f>
        <v>#REF!</v>
      </c>
    </row>
    <row r="74" spans="1:9" ht="6" customHeight="1" x14ac:dyDescent="0.2">
      <c r="A74" s="18"/>
      <c r="B74" s="18"/>
      <c r="C74" s="12"/>
      <c r="D74" s="12"/>
      <c r="E74" s="25"/>
      <c r="F74" s="12"/>
      <c r="G74" s="11"/>
    </row>
    <row r="75" spans="1:9" ht="19.5" customHeight="1" x14ac:dyDescent="0.2">
      <c r="A75" s="674" t="s">
        <v>83</v>
      </c>
      <c r="B75" s="675"/>
      <c r="C75" s="676"/>
      <c r="D75" s="676"/>
      <c r="E75" s="21"/>
      <c r="F75" s="12"/>
      <c r="G75" s="7"/>
    </row>
    <row r="76" spans="1:9" ht="9" customHeight="1" x14ac:dyDescent="0.2">
      <c r="A76" s="18"/>
      <c r="B76" s="18"/>
      <c r="C76" s="12"/>
      <c r="D76" s="12"/>
      <c r="E76" s="25"/>
      <c r="F76" s="12"/>
      <c r="G76" s="3" t="str">
        <f>IF(G78=FALSE,C41,FALSE)</f>
        <v>Zala megye</v>
      </c>
    </row>
    <row r="77" spans="1:9" x14ac:dyDescent="0.2">
      <c r="A77" s="567" t="s">
        <v>21</v>
      </c>
      <c r="B77" s="567"/>
      <c r="C77" s="66" t="s">
        <v>115</v>
      </c>
      <c r="D77" s="25" t="s">
        <v>121</v>
      </c>
      <c r="E77" s="508" t="s">
        <v>671</v>
      </c>
      <c r="F77" s="25" t="s">
        <v>122</v>
      </c>
      <c r="G77" s="3">
        <f>MATCH(C41,H31:H38,0)</f>
        <v>3</v>
      </c>
      <c r="I77" s="2" t="str">
        <f>IF(AND(C77&lt;&gt;"",C79&lt;&gt;"",E77&lt;&gt;"",E79&lt;&gt;"")=TRUE,A77,0)</f>
        <v>Name</v>
      </c>
    </row>
    <row r="78" spans="1:9" ht="6" customHeight="1" x14ac:dyDescent="0.2">
      <c r="A78" s="567"/>
      <c r="B78" s="567"/>
      <c r="C78" s="25"/>
      <c r="D78" s="25"/>
      <c r="E78" s="25"/>
      <c r="F78" s="25"/>
      <c r="G78" s="3" t="b">
        <f>ISERR(G77)</f>
        <v>0</v>
      </c>
    </row>
    <row r="79" spans="1:9" x14ac:dyDescent="0.2">
      <c r="A79" s="567"/>
      <c r="B79" s="567"/>
      <c r="C79" s="508" t="s">
        <v>672</v>
      </c>
      <c r="D79" s="25" t="s">
        <v>48</v>
      </c>
      <c r="E79" s="508" t="s">
        <v>673</v>
      </c>
      <c r="F79" s="25" t="s">
        <v>123</v>
      </c>
      <c r="I79" s="2"/>
    </row>
    <row r="80" spans="1:9" ht="6" customHeight="1" x14ac:dyDescent="0.2">
      <c r="A80" s="26"/>
      <c r="B80" s="26"/>
      <c r="C80" s="25"/>
      <c r="D80" s="25"/>
      <c r="E80" s="25"/>
      <c r="F80" s="25"/>
    </row>
    <row r="81" spans="1:9" ht="12.75" customHeight="1" x14ac:dyDescent="0.2">
      <c r="A81" s="567" t="s">
        <v>403</v>
      </c>
      <c r="B81" s="571"/>
      <c r="C81" s="509" t="s">
        <v>674</v>
      </c>
      <c r="D81" s="12" t="s">
        <v>62</v>
      </c>
      <c r="E81" s="510" t="s">
        <v>675</v>
      </c>
      <c r="F81" s="25" t="s">
        <v>404</v>
      </c>
      <c r="I81" s="2" t="str">
        <f>IF(C81="",FALSE,A81)</f>
        <v>Telephone/ Mobile number</v>
      </c>
    </row>
    <row r="82" spans="1:9" ht="6" customHeight="1" x14ac:dyDescent="0.2">
      <c r="A82" s="15"/>
      <c r="B82" s="12"/>
      <c r="C82" s="12"/>
      <c r="D82" s="12"/>
      <c r="E82" s="25"/>
      <c r="F82" s="25"/>
    </row>
    <row r="83" spans="1:9" x14ac:dyDescent="0.2">
      <c r="A83" s="567" t="s">
        <v>49</v>
      </c>
      <c r="B83" s="571"/>
      <c r="C83" s="673" t="s">
        <v>676</v>
      </c>
      <c r="D83" s="573"/>
      <c r="E83" s="573"/>
      <c r="F83" s="574"/>
      <c r="G83" s="7"/>
      <c r="I83" s="2" t="str">
        <f>IF(AND(NOT(ISERROR(SEARCH("@",C83)&gt;0)),C83&lt;&gt;""),A83,FALSE)</f>
        <v>E-mail</v>
      </c>
    </row>
    <row r="84" spans="1:9" ht="15" x14ac:dyDescent="0.2">
      <c r="A84" s="14"/>
      <c r="G84" s="7"/>
    </row>
    <row r="85" spans="1:9" ht="19.5" customHeight="1" x14ac:dyDescent="0.2">
      <c r="A85" s="669" t="s">
        <v>68</v>
      </c>
      <c r="B85" s="670"/>
      <c r="C85" s="671"/>
      <c r="D85" s="671"/>
      <c r="E85" s="21"/>
      <c r="F85" s="12"/>
      <c r="G85" s="7"/>
    </row>
    <row r="86" spans="1:9" ht="9" customHeight="1" x14ac:dyDescent="0.2">
      <c r="A86" s="18"/>
      <c r="B86" s="18"/>
      <c r="C86" s="12"/>
      <c r="D86" s="12"/>
      <c r="E86" s="25"/>
      <c r="F86" s="12"/>
    </row>
    <row r="87" spans="1:9" ht="25.5" x14ac:dyDescent="0.2">
      <c r="A87" s="678" t="s">
        <v>22</v>
      </c>
      <c r="B87" s="678"/>
      <c r="C87" s="66" t="s">
        <v>115</v>
      </c>
      <c r="D87" s="25" t="s">
        <v>121</v>
      </c>
      <c r="E87" s="508" t="s">
        <v>677</v>
      </c>
      <c r="F87" s="25" t="s">
        <v>122</v>
      </c>
      <c r="I87" s="2" t="str">
        <f>IF(AND(C87&lt;&gt;"",C89&lt;&gt;"",E87&lt;&gt;"",E89&lt;&gt;"")=TRUE,A87,0)</f>
        <v xml:space="preserve">Name of the contact  person </v>
      </c>
    </row>
    <row r="88" spans="1:9" ht="6" customHeight="1" x14ac:dyDescent="0.2">
      <c r="A88" s="678"/>
      <c r="B88" s="678"/>
      <c r="C88" s="25"/>
      <c r="D88" s="25"/>
      <c r="E88" s="25"/>
      <c r="F88" s="25"/>
    </row>
    <row r="89" spans="1:9" x14ac:dyDescent="0.2">
      <c r="A89" s="678"/>
      <c r="B89" s="678"/>
      <c r="C89" s="508" t="s">
        <v>678</v>
      </c>
      <c r="D89" s="25" t="s">
        <v>48</v>
      </c>
      <c r="E89" s="508" t="s">
        <v>679</v>
      </c>
      <c r="F89" s="25" t="s">
        <v>123</v>
      </c>
      <c r="I89" s="2"/>
    </row>
    <row r="90" spans="1:9" ht="6" customHeight="1" x14ac:dyDescent="0.2">
      <c r="A90" s="26"/>
      <c r="B90" s="26"/>
      <c r="C90" s="25"/>
      <c r="D90" s="25"/>
      <c r="E90" s="25"/>
      <c r="F90" s="25"/>
    </row>
    <row r="91" spans="1:9" ht="12.75" customHeight="1" x14ac:dyDescent="0.2">
      <c r="A91" s="567" t="s">
        <v>403</v>
      </c>
      <c r="B91" s="571"/>
      <c r="C91" s="509" t="s">
        <v>995</v>
      </c>
      <c r="D91" s="12" t="s">
        <v>62</v>
      </c>
      <c r="E91" s="510" t="s">
        <v>680</v>
      </c>
      <c r="F91" s="25" t="s">
        <v>404</v>
      </c>
      <c r="I91" s="2" t="str">
        <f>IF(C91="",FALSE,A91)</f>
        <v>Telephone/ Mobile number</v>
      </c>
    </row>
    <row r="92" spans="1:9" ht="6" customHeight="1" x14ac:dyDescent="0.2">
      <c r="A92" s="15"/>
      <c r="B92" s="12"/>
      <c r="C92" s="12"/>
      <c r="D92" s="12"/>
      <c r="E92" s="25"/>
      <c r="F92" s="25"/>
    </row>
    <row r="93" spans="1:9" x14ac:dyDescent="0.2">
      <c r="A93" s="567" t="s">
        <v>49</v>
      </c>
      <c r="B93" s="571"/>
      <c r="C93" s="673" t="s">
        <v>681</v>
      </c>
      <c r="D93" s="573"/>
      <c r="E93" s="573"/>
      <c r="F93" s="574"/>
      <c r="G93" s="7"/>
      <c r="I93" s="2" t="str">
        <f>IF(AND(NOT(ISERROR(SEARCH("@",C93)&gt;0)),C93&lt;&gt;""),A93,FALSE)</f>
        <v>E-mail</v>
      </c>
    </row>
    <row r="94" spans="1:9" ht="15" x14ac:dyDescent="0.2">
      <c r="A94" s="14"/>
      <c r="G94" s="7"/>
    </row>
    <row r="95" spans="1:9" ht="15" x14ac:dyDescent="0.2">
      <c r="A95" s="14"/>
    </row>
    <row r="96" spans="1:9" x14ac:dyDescent="0.2">
      <c r="A96" s="674" t="s">
        <v>70</v>
      </c>
      <c r="B96" s="675"/>
      <c r="C96" s="676"/>
      <c r="D96" s="676"/>
      <c r="G96" s="7">
        <v>2014</v>
      </c>
    </row>
    <row r="97" spans="1:10" ht="15" x14ac:dyDescent="0.2">
      <c r="A97" s="14"/>
      <c r="G97" s="7">
        <v>2015</v>
      </c>
    </row>
    <row r="98" spans="1:10" ht="12.75" customHeight="1" x14ac:dyDescent="0.2">
      <c r="A98" s="567" t="s">
        <v>40</v>
      </c>
      <c r="B98" s="667"/>
      <c r="C98" s="668"/>
      <c r="E98" s="65">
        <v>2014</v>
      </c>
      <c r="F98" s="7" t="s">
        <v>125</v>
      </c>
      <c r="G98" s="7">
        <v>2016</v>
      </c>
      <c r="I98" s="2" t="str">
        <f>IF(E98="",FALSE,A98)</f>
        <v>Relevant year (last closed budgetary year)</v>
      </c>
    </row>
    <row r="99" spans="1:10" ht="6" customHeight="1" x14ac:dyDescent="0.2"/>
    <row r="100" spans="1:10" ht="12.75" customHeight="1" x14ac:dyDescent="0.2">
      <c r="A100" s="15" t="s">
        <v>71</v>
      </c>
      <c r="B100" s="28"/>
      <c r="C100" s="216">
        <v>29</v>
      </c>
      <c r="D100" s="7" t="s">
        <v>132</v>
      </c>
      <c r="E100" s="40" t="s">
        <v>135</v>
      </c>
      <c r="F100" s="65" t="s">
        <v>133</v>
      </c>
      <c r="G100" s="7" t="s">
        <v>59</v>
      </c>
      <c r="H100" s="3" t="b">
        <f>ISBLANK(F100)</f>
        <v>0</v>
      </c>
      <c r="I100" s="2" t="str">
        <f>IF(C100="",FALSE,A100)</f>
        <v>Number of staff</v>
      </c>
      <c r="J100" s="2" t="str">
        <f>IF(F100="",FALSE,E100)</f>
        <v>Data in currency:</v>
      </c>
    </row>
    <row r="101" spans="1:10" ht="6" customHeight="1" x14ac:dyDescent="0.25">
      <c r="A101" s="27"/>
      <c r="G101" s="7" t="s">
        <v>133</v>
      </c>
    </row>
    <row r="102" spans="1:10" ht="12.75" customHeight="1" x14ac:dyDescent="0.2">
      <c r="A102" s="567" t="s">
        <v>72</v>
      </c>
      <c r="B102" s="667"/>
      <c r="C102" s="668"/>
      <c r="E102" s="528" t="s">
        <v>938</v>
      </c>
      <c r="F102" s="38" t="str">
        <f>IF(H$100=FALSE,F$100,"")</f>
        <v>HUF</v>
      </c>
      <c r="G102" s="7" t="s">
        <v>134</v>
      </c>
      <c r="I102" s="2" t="str">
        <f>IF(E102="",FALSE,A102)</f>
        <v>Last closed budgetary year annual revenue</v>
      </c>
    </row>
    <row r="103" spans="1:10" ht="6" customHeight="1" x14ac:dyDescent="0.2">
      <c r="A103" s="15"/>
      <c r="B103" s="15"/>
      <c r="C103" s="36"/>
      <c r="E103" s="37"/>
      <c r="F103" s="38"/>
      <c r="G103" s="7" t="s">
        <v>130</v>
      </c>
      <c r="I103" s="2"/>
    </row>
    <row r="104" spans="1:10" ht="12.75" customHeight="1" x14ac:dyDescent="0.2">
      <c r="A104" s="567" t="s">
        <v>29</v>
      </c>
      <c r="B104" s="667"/>
      <c r="C104" s="668"/>
      <c r="E104" s="528" t="s">
        <v>939</v>
      </c>
      <c r="F104" s="38" t="str">
        <f>IF(H$100=FALSE,F$100,"")</f>
        <v>HUF</v>
      </c>
      <c r="G104" s="7"/>
      <c r="I104" s="2" t="str">
        <f>IF(E104="",FALSE,A104)</f>
        <v xml:space="preserve">Last closed budgetary year balance sheet total </v>
      </c>
    </row>
    <row r="105" spans="1:10" ht="6" customHeight="1" x14ac:dyDescent="0.2">
      <c r="F105" s="38"/>
    </row>
    <row r="106" spans="1:10" ht="12.75" customHeight="1" x14ac:dyDescent="0.2">
      <c r="A106" s="567" t="s">
        <v>73</v>
      </c>
      <c r="B106" s="667"/>
      <c r="C106" s="668"/>
      <c r="E106" s="528" t="s">
        <v>940</v>
      </c>
      <c r="F106" s="38" t="str">
        <f>IF(H$100=FALSE,F$100,"")</f>
        <v>HUF</v>
      </c>
      <c r="G106" s="7"/>
      <c r="I106" s="2" t="str">
        <f>IF(E106="",FALSE,A106)</f>
        <v>Last closed budgetary year result</v>
      </c>
    </row>
    <row r="107" spans="1:10" ht="6" customHeight="1" x14ac:dyDescent="0.2"/>
    <row r="108" spans="1:10" x14ac:dyDescent="0.2">
      <c r="A108" s="567" t="s">
        <v>164</v>
      </c>
      <c r="B108" s="667"/>
      <c r="C108" s="668"/>
      <c r="D108" s="668"/>
      <c r="E108" s="668"/>
      <c r="F108" s="210">
        <v>0</v>
      </c>
      <c r="I108" s="2" t="str">
        <f>IF(F108="",FALSE,A108)</f>
        <v>Awarded de minimis grant in the current and the previous two financial years (EUR):</v>
      </c>
    </row>
  </sheetData>
  <sheetProtection password="F58B" sheet="1" objects="1" scenarios="1" formatCells="0" selectLockedCells="1"/>
  <mergeCells count="63">
    <mergeCell ref="A11:B11"/>
    <mergeCell ref="A7:B7"/>
    <mergeCell ref="C7:F7"/>
    <mergeCell ref="A5:B5"/>
    <mergeCell ref="C5:F5"/>
    <mergeCell ref="A9:B9"/>
    <mergeCell ref="C9:F9"/>
    <mergeCell ref="C25:D25"/>
    <mergeCell ref="D17:E17"/>
    <mergeCell ref="E23:F23"/>
    <mergeCell ref="J1:K1"/>
    <mergeCell ref="C15:D15"/>
    <mergeCell ref="A25:B25"/>
    <mergeCell ref="A2:F2"/>
    <mergeCell ref="A13:B13"/>
    <mergeCell ref="A15:B15"/>
    <mergeCell ref="A32:B34"/>
    <mergeCell ref="C32:E32"/>
    <mergeCell ref="E11:F14"/>
    <mergeCell ref="C13:D13"/>
    <mergeCell ref="A23:B23"/>
    <mergeCell ref="C27:D27"/>
    <mergeCell ref="A21:B21"/>
    <mergeCell ref="A19:B19"/>
    <mergeCell ref="C19:F19"/>
    <mergeCell ref="C21:F21"/>
    <mergeCell ref="A17:B17"/>
    <mergeCell ref="C23:D23"/>
    <mergeCell ref="A46:D46"/>
    <mergeCell ref="A55:B55"/>
    <mergeCell ref="A27:B27"/>
    <mergeCell ref="A41:B41"/>
    <mergeCell ref="A39:B39"/>
    <mergeCell ref="A43:B43"/>
    <mergeCell ref="A30:D30"/>
    <mergeCell ref="C41:D41"/>
    <mergeCell ref="C43:F43"/>
    <mergeCell ref="A48:B50"/>
    <mergeCell ref="C48:E48"/>
    <mergeCell ref="A57:B57"/>
    <mergeCell ref="A61:D61"/>
    <mergeCell ref="A87:B89"/>
    <mergeCell ref="A72:B72"/>
    <mergeCell ref="A83:B83"/>
    <mergeCell ref="C83:F83"/>
    <mergeCell ref="A63:B65"/>
    <mergeCell ref="C63:E63"/>
    <mergeCell ref="A70:B70"/>
    <mergeCell ref="A81:B81"/>
    <mergeCell ref="A75:D75"/>
    <mergeCell ref="C57:D57"/>
    <mergeCell ref="A104:C104"/>
    <mergeCell ref="A85:D85"/>
    <mergeCell ref="C72:D72"/>
    <mergeCell ref="A108:E108"/>
    <mergeCell ref="A93:B93"/>
    <mergeCell ref="C93:F93"/>
    <mergeCell ref="A77:B79"/>
    <mergeCell ref="A106:C106"/>
    <mergeCell ref="A91:B91"/>
    <mergeCell ref="A96:D96"/>
    <mergeCell ref="A102:C102"/>
    <mergeCell ref="A98:C98"/>
  </mergeCells>
  <phoneticPr fontId="3" type="noConversion"/>
  <conditionalFormatting sqref="A32:B36">
    <cfRule type="cellIs" dxfId="598" priority="102" stopIfTrue="1" operator="notEqual">
      <formula>$I$32</formula>
    </cfRule>
  </conditionalFormatting>
  <conditionalFormatting sqref="A77:B79 A87:B89">
    <cfRule type="cellIs" dxfId="597" priority="101" stopIfTrue="1" operator="notEqual">
      <formula>$I$77</formula>
    </cfRule>
  </conditionalFormatting>
  <conditionalFormatting sqref="A83:B83">
    <cfRule type="cellIs" dxfId="596" priority="100" stopIfTrue="1" operator="notEqual">
      <formula>$I$83</formula>
    </cfRule>
  </conditionalFormatting>
  <conditionalFormatting sqref="A15:B15">
    <cfRule type="cellIs" dxfId="595" priority="97" stopIfTrue="1" operator="notEqual">
      <formula>$I$15</formula>
    </cfRule>
  </conditionalFormatting>
  <conditionalFormatting sqref="A17:B17">
    <cfRule type="cellIs" dxfId="594" priority="94" stopIfTrue="1" operator="notEqual">
      <formula>$I$17</formula>
    </cfRule>
  </conditionalFormatting>
  <conditionalFormatting sqref="A23:B23">
    <cfRule type="cellIs" dxfId="593" priority="89" stopIfTrue="1" operator="notEqual">
      <formula>$I$23</formula>
    </cfRule>
  </conditionalFormatting>
  <conditionalFormatting sqref="A25:B25">
    <cfRule type="cellIs" dxfId="592" priority="88" stopIfTrue="1" operator="notEqual">
      <formula>$I$25</formula>
    </cfRule>
  </conditionalFormatting>
  <conditionalFormatting sqref="A27:B28">
    <cfRule type="cellIs" dxfId="591" priority="86" stopIfTrue="1" operator="notEqual">
      <formula>$I$27</formula>
    </cfRule>
  </conditionalFormatting>
  <conditionalFormatting sqref="A43:B45 A58:B60 A47:B47 A73:B74 A56:B56 A53:B54 A71:B71 A62:B62 A68:B69">
    <cfRule type="cellIs" dxfId="590" priority="82" stopIfTrue="1" operator="notEqual">
      <formula>$I$43</formula>
    </cfRule>
  </conditionalFormatting>
  <conditionalFormatting sqref="A48:B50">
    <cfRule type="cellIs" dxfId="589" priority="49" stopIfTrue="1" operator="notEqual">
      <formula>$I$48</formula>
    </cfRule>
  </conditionalFormatting>
  <conditionalFormatting sqref="A55:B55">
    <cfRule type="cellIs" dxfId="588" priority="48" stopIfTrue="1" operator="notEqual">
      <formula>$I$55</formula>
    </cfRule>
  </conditionalFormatting>
  <conditionalFormatting sqref="A57:B57">
    <cfRule type="cellIs" dxfId="587" priority="47" stopIfTrue="1" operator="notEqual">
      <formula>$I$57</formula>
    </cfRule>
  </conditionalFormatting>
  <conditionalFormatting sqref="A63:B65">
    <cfRule type="cellIs" dxfId="586" priority="46" stopIfTrue="1" operator="notEqual">
      <formula>$I$63</formula>
    </cfRule>
  </conditionalFormatting>
  <conditionalFormatting sqref="A70:B70">
    <cfRule type="cellIs" dxfId="585" priority="45" stopIfTrue="1" operator="notEqual">
      <formula>$I$70</formula>
    </cfRule>
  </conditionalFormatting>
  <conditionalFormatting sqref="A72:B72">
    <cfRule type="cellIs" dxfId="584" priority="44" stopIfTrue="1" operator="notEqual">
      <formula>$I$72</formula>
    </cfRule>
  </conditionalFormatting>
  <conditionalFormatting sqref="A98:C98">
    <cfRule type="cellIs" dxfId="583" priority="22" stopIfTrue="1" operator="notEqual">
      <formula>$I$98</formula>
    </cfRule>
  </conditionalFormatting>
  <conditionalFormatting sqref="A100">
    <cfRule type="cellIs" dxfId="582" priority="21" stopIfTrue="1" operator="notEqual">
      <formula>$I$100</formula>
    </cfRule>
  </conditionalFormatting>
  <conditionalFormatting sqref="E100">
    <cfRule type="cellIs" dxfId="581" priority="20" stopIfTrue="1" operator="notEqual">
      <formula>$J$100</formula>
    </cfRule>
  </conditionalFormatting>
  <conditionalFormatting sqref="A102:C102">
    <cfRule type="cellIs" dxfId="580" priority="19" stopIfTrue="1" operator="notEqual">
      <formula>$I$102</formula>
    </cfRule>
  </conditionalFormatting>
  <conditionalFormatting sqref="A104:C104">
    <cfRule type="cellIs" dxfId="579" priority="18" stopIfTrue="1" operator="notEqual">
      <formula>$I$104</formula>
    </cfRule>
  </conditionalFormatting>
  <conditionalFormatting sqref="A106:C106">
    <cfRule type="cellIs" dxfId="578" priority="17" stopIfTrue="1" operator="notEqual">
      <formula>$I$106</formula>
    </cfRule>
  </conditionalFormatting>
  <conditionalFormatting sqref="A108:E108">
    <cfRule type="cellIs" dxfId="577" priority="15" stopIfTrue="1" operator="notEqual">
      <formula>$I$108</formula>
    </cfRule>
  </conditionalFormatting>
  <conditionalFormatting sqref="A93:B93">
    <cfRule type="cellIs" dxfId="576" priority="128" stopIfTrue="1" operator="notEqual">
      <formula>$I$93</formula>
    </cfRule>
  </conditionalFormatting>
  <conditionalFormatting sqref="E11:F14">
    <cfRule type="cellIs" dxfId="575" priority="129" stopIfTrue="1" operator="equal">
      <formula>$K$11</formula>
    </cfRule>
  </conditionalFormatting>
  <conditionalFormatting sqref="A81:B81">
    <cfRule type="cellIs" dxfId="574" priority="14" stopIfTrue="1" operator="notEqual">
      <formula>$I$81</formula>
    </cfRule>
  </conditionalFormatting>
  <conditionalFormatting sqref="A91:B91">
    <cfRule type="cellIs" dxfId="573" priority="13" stopIfTrue="1" operator="notEqual">
      <formula>$I$91</formula>
    </cfRule>
  </conditionalFormatting>
  <conditionalFormatting sqref="A5:B5">
    <cfRule type="cellIs" dxfId="572" priority="12" stopIfTrue="1" operator="notEqual">
      <formula>$I$5</formula>
    </cfRule>
  </conditionalFormatting>
  <conditionalFormatting sqref="A7:B7">
    <cfRule type="cellIs" dxfId="571" priority="11" stopIfTrue="1" operator="notEqual">
      <formula>$I$7</formula>
    </cfRule>
  </conditionalFormatting>
  <conditionalFormatting sqref="A9:B9">
    <cfRule type="cellIs" dxfId="570" priority="10" stopIfTrue="1" operator="notEqual">
      <formula>$I$9</formula>
    </cfRule>
  </conditionalFormatting>
  <conditionalFormatting sqref="A19:B19">
    <cfRule type="cellIs" dxfId="569" priority="9" stopIfTrue="1" operator="notEqual">
      <formula>$I$19</formula>
    </cfRule>
  </conditionalFormatting>
  <conditionalFormatting sqref="A21:B21">
    <cfRule type="cellIs" dxfId="568" priority="8" stopIfTrue="1" operator="notEqual">
      <formula>$I$21</formula>
    </cfRule>
  </conditionalFormatting>
  <conditionalFormatting sqref="A11:B11">
    <cfRule type="cellIs" dxfId="567" priority="7" stopIfTrue="1" operator="notEqual">
      <formula>$I$11</formula>
    </cfRule>
  </conditionalFormatting>
  <conditionalFormatting sqref="A13:B13">
    <cfRule type="cellIs" dxfId="566" priority="6" stopIfTrue="1" operator="notEqual">
      <formula>$I$13</formula>
    </cfRule>
  </conditionalFormatting>
  <conditionalFormatting sqref="A39:B39">
    <cfRule type="cellIs" dxfId="565" priority="5" stopIfTrue="1" operator="notEqual">
      <formula>$I$39</formula>
    </cfRule>
  </conditionalFormatting>
  <conditionalFormatting sqref="A41:B41">
    <cfRule type="cellIs" dxfId="564" priority="4" stopIfTrue="1" operator="notEqual">
      <formula>$I$41</formula>
    </cfRule>
  </conditionalFormatting>
  <conditionalFormatting sqref="C41:D41">
    <cfRule type="cellIs" dxfId="563" priority="3" stopIfTrue="1" operator="notEqual">
      <formula>$H$39</formula>
    </cfRule>
  </conditionalFormatting>
  <conditionalFormatting sqref="C57:D57">
    <cfRule type="cellIs" dxfId="562" priority="2" stopIfTrue="1" operator="notEqual">
      <formula>$H$55</formula>
    </cfRule>
  </conditionalFormatting>
  <conditionalFormatting sqref="C72:D72">
    <cfRule type="cellIs" dxfId="561" priority="1" stopIfTrue="1" operator="notEqual">
      <formula>$H$70</formula>
    </cfRule>
  </conditionalFormatting>
  <dataValidations count="32">
    <dataValidation type="whole" allowBlank="1" showInputMessage="1" showErrorMessage="1" sqref="C66 C35 C51">
      <formula1>1000</formula1>
      <formula2>9999</formula2>
    </dataValidation>
    <dataValidation type="textLength" allowBlank="1" showInputMessage="1" showErrorMessage="1" sqref="C54:F54 C10:F10 C69:F69 C38:F38">
      <formula1>3</formula1>
      <formula2>50</formula2>
    </dataValidation>
    <dataValidation type="textLength" allowBlank="1" showInputMessage="1" showErrorMessage="1" sqref="E80 E90">
      <formula1>1</formula1>
      <formula2>30</formula2>
    </dataValidation>
    <dataValidation type="textLength" allowBlank="1" showInputMessage="1" showErrorMessage="1" sqref="E78 C9:F9 E88 C80 C90">
      <formula1>1</formula1>
      <formula2>20</formula2>
    </dataValidation>
    <dataValidation type="list" allowBlank="1" showInputMessage="1" showErrorMessage="1" sqref="C77 C87">
      <formula1>$H$12:$H$13</formula1>
    </dataValidation>
    <dataValidation type="textLength" allowBlank="1" showInputMessage="1" showErrorMessage="1" sqref="C49:E49 C64:E64 C33:E33">
      <formula1>4</formula1>
      <formula2>100</formula2>
    </dataValidation>
    <dataValidation type="whole" operator="equal" allowBlank="1" showInputMessage="1" showErrorMessage="1" sqref="C37 C85:C86 C68 C73:C76 C58:C59 C42 C53">
      <formula1>4</formula1>
    </dataValidation>
    <dataValidation type="textLength" allowBlank="1" showInputMessage="1" showErrorMessage="1" sqref="E34:E37 E59 E65:E68 E73:E76 E85:E86 E42 E50:E53">
      <formula1>2</formula1>
      <formula2>50</formula2>
    </dataValidation>
    <dataValidation type="textLength" allowBlank="1" showInputMessage="1" showErrorMessage="1" sqref="C32:E32 C63:E63 C48:E48">
      <formula1>1</formula1>
      <formula2>100</formula2>
    </dataValidation>
    <dataValidation type="list" allowBlank="1" showInputMessage="1" showErrorMessage="1" sqref="C55 C39">
      <formula1>$G$1:$G$2</formula1>
    </dataValidation>
    <dataValidation type="textLength" allowBlank="1" showInputMessage="1" showErrorMessage="1" sqref="C6:F6 C8:F8">
      <formula1>6</formula1>
      <formula2>150</formula2>
    </dataValidation>
    <dataValidation type="list" allowBlank="1" showInputMessage="1" showErrorMessage="1" sqref="C15">
      <formula1>$H$15:$H$16</formula1>
    </dataValidation>
    <dataValidation type="whole" allowBlank="1" showInputMessage="1" showErrorMessage="1" sqref="C18">
      <formula1>1000</formula1>
      <formula2>2009</formula2>
    </dataValidation>
    <dataValidation type="textLength" operator="lessThan" allowBlank="1" showInputMessage="1" showErrorMessage="1" sqref="C19:F19">
      <formula1>150</formula1>
    </dataValidation>
    <dataValidation type="textLength" operator="lessThan" allowBlank="1" showInputMessage="1" showErrorMessage="1" sqref="C28:D28">
      <formula1>25</formula1>
    </dataValidation>
    <dataValidation type="list" allowBlank="1" showInputMessage="1" showErrorMessage="1" sqref="C41:D41">
      <formula1>$H$30:$H$38</formula1>
    </dataValidation>
    <dataValidation type="textLength" operator="lessThan" allowBlank="1" showInputMessage="1" showErrorMessage="1" sqref="C43:F44">
      <formula1>40</formula1>
    </dataValidation>
    <dataValidation type="whole" allowBlank="1" showInputMessage="1" showErrorMessage="1" sqref="C36 C67 C52">
      <formula1>0</formula1>
      <formula2>100000</formula2>
    </dataValidation>
    <dataValidation type="list" allowBlank="1" showInputMessage="1" showErrorMessage="1" sqref="C70">
      <formula1>$G$59:$G$61</formula1>
    </dataValidation>
    <dataValidation type="list" allowBlank="1" showInputMessage="1" showErrorMessage="1" sqref="C72:D72">
      <formula1>$H$62:$H$69</formula1>
    </dataValidation>
    <dataValidation type="list" allowBlank="1" showInputMessage="1" showErrorMessage="1" sqref="C57:D57">
      <formula1>$H$46:$H$54</formula1>
    </dataValidation>
    <dataValidation type="list" allowBlank="1" showInputMessage="1" showErrorMessage="1" sqref="E98">
      <formula1>$G$96:$G$98</formula1>
    </dataValidation>
    <dataValidation type="list" allowBlank="1" showInputMessage="1" showErrorMessage="1" sqref="F100">
      <formula1>$G$100:$G$103</formula1>
    </dataValidation>
    <dataValidation type="decimal" allowBlank="1" showInputMessage="1" showErrorMessage="1" sqref="F108">
      <formula1>0</formula1>
      <formula2>500000</formula2>
    </dataValidation>
    <dataValidation type="textLength" operator="lessThanOrEqual" allowBlank="1" showInputMessage="1" showErrorMessage="1" sqref="C27:D27 C23:D23 C25:D25">
      <formula1>25</formula1>
    </dataValidation>
    <dataValidation type="whole" allowBlank="1" showInputMessage="1" showErrorMessage="1" sqref="C50 C34">
      <formula1>1000</formula1>
      <formula2>99999</formula2>
    </dataValidation>
    <dataValidation type="decimal" allowBlank="1" showInputMessage="1" showErrorMessage="1" sqref="C100">
      <formula1>0.1</formula1>
      <formula2>99999999</formula2>
    </dataValidation>
    <dataValidation type="list" allowBlank="1" showInputMessage="1" showErrorMessage="1" sqref="C21:F21">
      <formula1>$J$2:$J$13</formula1>
    </dataValidation>
    <dataValidation type="textLength" allowBlank="1" showInputMessage="1" showErrorMessage="1" sqref="C5:F5 C7:F7">
      <formula1>1</formula1>
      <formula2>150</formula2>
    </dataValidation>
    <dataValidation type="whole" allowBlank="1" showInputMessage="1" showErrorMessage="1" sqref="C65">
      <formula1>0</formula1>
      <formula2>99999</formula2>
    </dataValidation>
    <dataValidation type="textLength" operator="lessThanOrEqual" allowBlank="1" showInputMessage="1" showErrorMessage="1" sqref="C17">
      <formula1>15</formula1>
    </dataValidation>
    <dataValidation type="textLength" operator="lessThanOrEqual" allowBlank="1" showInputMessage="1" showErrorMessage="1" sqref="E77 E79 C79 E87 E89 C89">
      <formula1>30</formula1>
    </dataValidation>
  </dataValidations>
  <pageMargins left="0.98425196850393704" right="0.51181102362204722" top="0.74803149606299213" bottom="0.74803149606299213" header="0.31496062992125984" footer="0.31496062992125984"/>
  <pageSetup orientation="landscape" horizontalDpi="300" verticalDpi="300"/>
  <headerFooter>
    <oddFooter xml:space="preserve">&amp;C&amp;"Arial,Italic"&amp;8&amp;A&amp;R&amp;"Arial,Italic"&amp;8Page &amp;P of &amp;N&amp;"Arial,Regular"&amp;10 </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3" workbookViewId="0">
      <selection activeCell="C19" sqref="C19"/>
    </sheetView>
  </sheetViews>
  <sheetFormatPr defaultColWidth="9.140625" defaultRowHeight="12.75" x14ac:dyDescent="0.2"/>
  <cols>
    <col min="1" max="1" width="23.7109375" style="3" customWidth="1"/>
    <col min="2" max="2" width="1.85546875" style="3" customWidth="1"/>
    <col min="3" max="3" width="60" style="3" customWidth="1"/>
    <col min="4" max="16384" width="9.140625" style="3"/>
  </cols>
  <sheetData>
    <row r="1" spans="1:13" ht="15.75" x14ac:dyDescent="0.2">
      <c r="A1" s="901" t="s">
        <v>582</v>
      </c>
      <c r="B1" s="902"/>
      <c r="C1" s="902"/>
      <c r="D1" s="498"/>
      <c r="E1" s="498"/>
      <c r="F1" s="498"/>
      <c r="G1" s="498"/>
      <c r="H1" s="498"/>
      <c r="I1" s="498"/>
      <c r="J1" s="498"/>
      <c r="K1" s="498"/>
      <c r="L1" s="498"/>
      <c r="M1" s="498"/>
    </row>
    <row r="2" spans="1:13" ht="21" customHeight="1" x14ac:dyDescent="0.2"/>
    <row r="3" spans="1:13" ht="127.5" customHeight="1" x14ac:dyDescent="0.2"/>
    <row r="4" spans="1:13" ht="21" customHeight="1" x14ac:dyDescent="0.2"/>
    <row r="5" spans="1:13" s="499" customFormat="1" ht="38.25" customHeight="1" x14ac:dyDescent="0.2">
      <c r="A5" s="214" t="str">
        <f>CONCATENATE(T('1. General Data'!R12),"          Component:")</f>
        <v>HUHR/1601/          Component:</v>
      </c>
      <c r="C5" s="208" t="str">
        <f>T('1. General Data'!E25:O25)</f>
        <v>2.1.1. Bicycle paths</v>
      </c>
    </row>
    <row r="6" spans="1:13" ht="6" customHeight="1" x14ac:dyDescent="0.2"/>
    <row r="7" spans="1:13" s="499" customFormat="1" ht="12.75" customHeight="1" x14ac:dyDescent="0.2">
      <c r="A7" s="17" t="s">
        <v>139</v>
      </c>
      <c r="B7" s="17"/>
      <c r="C7" s="208" t="str">
        <f>T('1. General Data'!C14:M14)</f>
        <v>Happy Bike</v>
      </c>
    </row>
    <row r="8" spans="1:13" ht="6" customHeight="1" x14ac:dyDescent="0.2">
      <c r="A8" s="17"/>
      <c r="B8" s="17"/>
      <c r="C8" s="17"/>
    </row>
    <row r="9" spans="1:13" s="499" customFormat="1" ht="12.75" customHeight="1" x14ac:dyDescent="0.2">
      <c r="A9" s="17" t="s">
        <v>138</v>
      </c>
      <c r="B9" s="17"/>
      <c r="C9" s="208" t="str">
        <f>T('2. LB data'!C9:F9)</f>
        <v>Letenye</v>
      </c>
    </row>
    <row r="10" spans="1:13" ht="90" customHeight="1" x14ac:dyDescent="0.2"/>
    <row r="11" spans="1:13" ht="79.5" customHeight="1" x14ac:dyDescent="0.2">
      <c r="A11" s="900" t="s">
        <v>224</v>
      </c>
      <c r="B11" s="900"/>
      <c r="C11" s="900"/>
    </row>
    <row r="13" spans="1:13" x14ac:dyDescent="0.2">
      <c r="A13" s="3" t="s">
        <v>225</v>
      </c>
      <c r="C13" s="500"/>
    </row>
    <row r="14" spans="1:13" ht="5.25" customHeight="1" x14ac:dyDescent="0.2">
      <c r="C14" s="500"/>
    </row>
    <row r="15" spans="1:13" x14ac:dyDescent="0.2">
      <c r="A15" s="3" t="s">
        <v>226</v>
      </c>
      <c r="C15" s="500"/>
    </row>
    <row r="16" spans="1:13" ht="6" customHeight="1" thickBot="1" x14ac:dyDescent="0.25"/>
    <row r="17" spans="3:3" ht="39" customHeight="1" thickBot="1" x14ac:dyDescent="0.25">
      <c r="C17" s="501"/>
    </row>
    <row r="18" spans="3:3" ht="13.5" customHeight="1" x14ac:dyDescent="0.2">
      <c r="C18" s="502" t="s">
        <v>211</v>
      </c>
    </row>
    <row r="19" spans="3:3" x14ac:dyDescent="0.2">
      <c r="C19" s="489" t="s">
        <v>957</v>
      </c>
    </row>
  </sheetData>
  <sheetProtection password="F58B" sheet="1" selectLockedCells="1"/>
  <mergeCells count="2">
    <mergeCell ref="A11:C11"/>
    <mergeCell ref="A1:C1"/>
  </mergeCells>
  <phoneticPr fontId="3" type="noConversion"/>
  <pageMargins left="1.1811023622047245" right="0.59055118110236227" top="0.98425196850393704" bottom="0.98425196850393704" header="0.51181102362204722" footer="0.51181102362204722"/>
  <pageSetup orientation="landscape"/>
  <headerFooter>
    <oddFooter xml:space="preserve">&amp;C&amp;"Arial,Italic"&amp;8&amp;A&amp;R&amp;"Arial,Italic"&amp;8Page &amp;P of &amp;N </oddFooter>
  </headerFooter>
  <ignoredErrors>
    <ignoredError sqref="C5" formulaRange="1"/>
  </ignoredError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topLeftCell="A80" workbookViewId="0">
      <selection activeCell="C93" sqref="C93:F93"/>
    </sheetView>
  </sheetViews>
  <sheetFormatPr defaultColWidth="9.140625" defaultRowHeight="12.75" x14ac:dyDescent="0.2"/>
  <cols>
    <col min="1" max="2" width="14.85546875" style="3" customWidth="1"/>
    <col min="3" max="3" width="18.85546875" style="3" customWidth="1"/>
    <col min="4" max="4" width="10.7109375" style="3" customWidth="1"/>
    <col min="5" max="5" width="18.85546875" style="3" customWidth="1"/>
    <col min="6" max="6" width="12.140625" style="3" customWidth="1"/>
    <col min="7" max="7" width="24.140625" style="3" hidden="1" customWidth="1"/>
    <col min="8" max="8" width="18" style="3" hidden="1" customWidth="1"/>
    <col min="9" max="9" width="9.140625" style="3" hidden="1" customWidth="1"/>
    <col min="10" max="10" width="12.42578125" style="3" hidden="1" customWidth="1"/>
    <col min="11" max="14" width="9.140625" style="3" hidden="1" customWidth="1"/>
    <col min="15" max="16384" width="9.140625" style="3"/>
  </cols>
  <sheetData>
    <row r="1" spans="1:15" ht="6.75" hidden="1" customHeight="1" x14ac:dyDescent="0.2">
      <c r="G1" s="7" t="s">
        <v>102</v>
      </c>
      <c r="H1" s="3">
        <f>IF($C$11="Hungary",1,IF($C$11="Croatia",2,0))</f>
        <v>2</v>
      </c>
      <c r="J1" s="567" t="s">
        <v>44</v>
      </c>
      <c r="K1" s="677"/>
    </row>
    <row r="2" spans="1:15" ht="15.75" x14ac:dyDescent="0.25">
      <c r="A2" s="560" t="s">
        <v>349</v>
      </c>
      <c r="B2" s="561"/>
      <c r="C2" s="561"/>
      <c r="D2" s="561"/>
      <c r="E2" s="561"/>
      <c r="F2" s="561"/>
      <c r="G2" s="7" t="s">
        <v>103</v>
      </c>
      <c r="J2" t="s">
        <v>228</v>
      </c>
    </row>
    <row r="3" spans="1:15" ht="11.25" customHeight="1" x14ac:dyDescent="0.2">
      <c r="A3" s="14"/>
      <c r="G3" s="3" t="s">
        <v>104</v>
      </c>
      <c r="H3" s="3" t="str">
        <f>IF($H$1=1,G3,IF($H$1=2,G6,"-"))</f>
        <v>Koprivničko-križevačka županija</v>
      </c>
      <c r="J3" t="s">
        <v>229</v>
      </c>
    </row>
    <row r="4" spans="1:15" ht="15" x14ac:dyDescent="0.25">
      <c r="A4" s="19" t="s">
        <v>347</v>
      </c>
      <c r="G4" s="3" t="s">
        <v>105</v>
      </c>
      <c r="H4" s="3" t="str">
        <f>IF($H$1=1,G4,IF($H$1=2,G7,"-"))</f>
        <v>Međimurska županija</v>
      </c>
      <c r="J4" s="3" t="s">
        <v>232</v>
      </c>
    </row>
    <row r="5" spans="1:15" ht="46.5" customHeight="1" x14ac:dyDescent="0.2">
      <c r="A5" s="567" t="s">
        <v>181</v>
      </c>
      <c r="B5" s="571"/>
      <c r="C5" s="679" t="s">
        <v>697</v>
      </c>
      <c r="D5" s="689"/>
      <c r="E5" s="689"/>
      <c r="F5" s="690"/>
      <c r="G5" s="3" t="s">
        <v>106</v>
      </c>
      <c r="H5" s="3" t="str">
        <f>IF($H$1=1,G5,IF($H$1=2,G8,"-"))</f>
        <v>Osječko-baranjska županija</v>
      </c>
      <c r="I5" s="2" t="str">
        <f>IF(C5="",FALSE,A5)</f>
        <v>Official name of the organization in original language (max. 150 characters)</v>
      </c>
      <c r="J5" t="s">
        <v>230</v>
      </c>
    </row>
    <row r="6" spans="1:15" ht="6" customHeight="1" x14ac:dyDescent="0.2">
      <c r="A6" s="15"/>
      <c r="B6" s="12"/>
      <c r="C6" s="12"/>
      <c r="D6" s="12"/>
      <c r="E6" s="12"/>
      <c r="F6" s="12"/>
      <c r="G6" s="20" t="s">
        <v>107</v>
      </c>
      <c r="H6" s="3" t="str">
        <f>IF($H$1=1,"-",IF($H$1=2,G9,"-"))</f>
        <v>Virovitičko-podravska županija</v>
      </c>
      <c r="J6" t="s">
        <v>153</v>
      </c>
    </row>
    <row r="7" spans="1:15" ht="46.5" customHeight="1" x14ac:dyDescent="0.2">
      <c r="A7" s="567" t="s">
        <v>163</v>
      </c>
      <c r="B7" s="667"/>
      <c r="C7" s="679" t="s">
        <v>911</v>
      </c>
      <c r="D7" s="689"/>
      <c r="E7" s="689"/>
      <c r="F7" s="690"/>
      <c r="G7" s="20" t="s">
        <v>108</v>
      </c>
      <c r="H7" s="3" t="str">
        <f>IF($H$1=1,"-",IF($H$1=2,G10,"-"))</f>
        <v>Bjelovarsko-bilogorska županija</v>
      </c>
      <c r="I7" s="2" t="str">
        <f>IF(C7="",FALSE,A7)</f>
        <v>Official name of the organization in English (if exists) (max. 150 characters)</v>
      </c>
      <c r="J7" t="s">
        <v>231</v>
      </c>
    </row>
    <row r="8" spans="1:15" ht="6" customHeight="1" x14ac:dyDescent="0.2">
      <c r="A8" s="15"/>
      <c r="B8" s="12"/>
      <c r="C8" s="12"/>
      <c r="D8" s="12"/>
      <c r="E8" s="12"/>
      <c r="F8" s="12"/>
      <c r="G8" s="20" t="s">
        <v>109</v>
      </c>
      <c r="H8" s="3" t="str">
        <f>IF($H$1=1,"-",IF($H$1=2,G11,"-"))</f>
        <v>Požeško-slavonska županija</v>
      </c>
      <c r="J8" t="s">
        <v>156</v>
      </c>
    </row>
    <row r="9" spans="1:15" ht="25.5" customHeight="1" x14ac:dyDescent="0.2">
      <c r="A9" s="567" t="s">
        <v>180</v>
      </c>
      <c r="B9" s="571"/>
      <c r="C9" s="687" t="s">
        <v>912</v>
      </c>
      <c r="D9" s="695"/>
      <c r="E9" s="695"/>
      <c r="F9" s="696"/>
      <c r="G9" s="20" t="s">
        <v>110</v>
      </c>
      <c r="H9" s="3" t="str">
        <f>IF($H$1=1,"-",IF($H$1=2,G12,"-"))</f>
        <v>Varaždinska županija</v>
      </c>
      <c r="I9" s="2" t="str">
        <f>IF(C9="",FALSE,A9)</f>
        <v>Abbreviated name (in original language) (max. 20 characters)</v>
      </c>
      <c r="J9" t="s">
        <v>160</v>
      </c>
      <c r="O9" s="151"/>
    </row>
    <row r="10" spans="1:15" ht="6" customHeight="1" thickBot="1" x14ac:dyDescent="0.25">
      <c r="A10" s="15"/>
      <c r="B10" s="12"/>
      <c r="C10" s="12"/>
      <c r="D10" s="12"/>
      <c r="E10" s="12"/>
      <c r="F10" s="12"/>
      <c r="G10" s="20" t="s">
        <v>111</v>
      </c>
      <c r="H10" s="3" t="str">
        <f>IF($H$1=1,"-",IF($H$1=2,G13,"-"))</f>
        <v>Vukovarsko-srijemska županija</v>
      </c>
      <c r="J10" t="s">
        <v>154</v>
      </c>
    </row>
    <row r="11" spans="1:15" ht="12.75" customHeight="1" thickBot="1" x14ac:dyDescent="0.25">
      <c r="A11" s="567" t="s">
        <v>61</v>
      </c>
      <c r="B11" s="677"/>
      <c r="C11" s="209" t="str">
        <f>IF(OR(C13=G3,C13=G4,C13=G5),G1,IF(LEN(C13)&gt;5,G2,IF(LEN(C13)=5,C39,"")))</f>
        <v>Croatia</v>
      </c>
      <c r="D11" s="31"/>
      <c r="E11" s="684" t="s">
        <v>348</v>
      </c>
      <c r="F11" s="685"/>
      <c r="G11" s="20" t="s">
        <v>113</v>
      </c>
      <c r="I11" s="2" t="str">
        <f>IF(C11="",FALSE,A11)</f>
        <v>Country</v>
      </c>
      <c r="J11" t="s">
        <v>155</v>
      </c>
      <c r="K11" s="168" t="str">
        <f>IF(AND(LEN(C13)&gt;5,OR(C13=G3,C13=G4,C13=G5,C13=G6,C13=G7,C13=G8,C13=G9,C13=G10,C13=G11,C13=G12,C13=G13)),"",IF(C13="","",E11))</f>
        <v/>
      </c>
      <c r="L11" s="168" t="str">
        <f>IF(AND(LEN(C13)&gt;5,OR(C13=G3,C13=G4,C13=G5,C13=G6,C13=G7,C13=G8,C13=G9,C13=G10,C13=G11,C13=G12,C13=G13)),"",IF(C13="","","Lead Beneficiary is not eligible (adjacent or out of the programme area)!"))</f>
        <v/>
      </c>
    </row>
    <row r="12" spans="1:15" ht="6" customHeight="1" x14ac:dyDescent="0.2">
      <c r="A12" s="15"/>
      <c r="B12" s="12"/>
      <c r="C12" s="12"/>
      <c r="D12" s="12"/>
      <c r="E12" s="685"/>
      <c r="F12" s="685"/>
      <c r="G12" s="20" t="s">
        <v>114</v>
      </c>
      <c r="H12" s="3" t="s">
        <v>115</v>
      </c>
      <c r="J12" s="1" t="s">
        <v>401</v>
      </c>
    </row>
    <row r="13" spans="1:15" ht="12.75" customHeight="1" x14ac:dyDescent="0.2">
      <c r="A13" s="567" t="s">
        <v>112</v>
      </c>
      <c r="B13" s="677"/>
      <c r="C13" s="630" t="str">
        <f>IF(AND(ISTEXT(C72),C72&lt;&gt;"-",LEN(C41)&lt;=5,H70=C72),C72,IF(AND(ISTEXT(C41),C41&lt;&gt;"-",H39=C41),C41,""))</f>
        <v>Međimurska županija</v>
      </c>
      <c r="D13" s="639"/>
      <c r="E13" s="685"/>
      <c r="F13" s="685"/>
      <c r="G13" s="20" t="s">
        <v>116</v>
      </c>
      <c r="H13" s="3" t="s">
        <v>117</v>
      </c>
      <c r="I13" s="2" t="str">
        <f>IF(C13="",FALSE,IF(C13="-",FALSE,A13))</f>
        <v>NUTSIII or equivalent</v>
      </c>
      <c r="J13" s="1" t="s">
        <v>402</v>
      </c>
      <c r="K13" s="3" t="str">
        <f>IF(AND(ISTEXT(C72),C72&lt;&gt;"-"),C72,IF(AND(ISTEXT(C41),C41&lt;&gt;"-"),C41,""))</f>
        <v>Međimurska županija</v>
      </c>
    </row>
    <row r="14" spans="1:15" ht="6" customHeight="1" x14ac:dyDescent="0.2">
      <c r="A14" s="15"/>
      <c r="B14" s="12"/>
      <c r="C14" s="12"/>
      <c r="D14" s="12"/>
      <c r="E14" s="686"/>
      <c r="F14" s="686"/>
      <c r="G14" s="11" t="s">
        <v>148</v>
      </c>
      <c r="J14" s="1"/>
    </row>
    <row r="15" spans="1:15" ht="12.75" customHeight="1" x14ac:dyDescent="0.2">
      <c r="A15" s="567" t="s">
        <v>43</v>
      </c>
      <c r="B15" s="667"/>
      <c r="C15" s="568" t="s">
        <v>1</v>
      </c>
      <c r="D15" s="672"/>
      <c r="G15" s="3">
        <f>IF($C$11="Hungary",1,IF($C$11="Croatia",2,0))</f>
        <v>2</v>
      </c>
      <c r="H15" s="3" t="s">
        <v>1</v>
      </c>
      <c r="I15" s="2" t="str">
        <f>IF(C15="",FALSE,A15)</f>
        <v>Legal status</v>
      </c>
      <c r="J15" s="1"/>
    </row>
    <row r="16" spans="1:15" ht="6" customHeight="1" x14ac:dyDescent="0.2">
      <c r="A16" s="15"/>
      <c r="B16" s="12"/>
      <c r="C16" s="21"/>
      <c r="D16" s="29"/>
      <c r="E16" s="21"/>
      <c r="F16" s="12"/>
      <c r="H16" s="3" t="s">
        <v>2</v>
      </c>
      <c r="J16" s="1"/>
    </row>
    <row r="17" spans="1:9" ht="12.75" customHeight="1" x14ac:dyDescent="0.2">
      <c r="A17" s="567" t="s">
        <v>76</v>
      </c>
      <c r="B17" s="667"/>
      <c r="C17" s="301">
        <v>35453</v>
      </c>
      <c r="D17" s="692" t="s">
        <v>0</v>
      </c>
      <c r="E17" s="693"/>
      <c r="I17" s="2" t="str">
        <f>IF(C17="",FALSE,A17)</f>
        <v>Date of foundation</v>
      </c>
    </row>
    <row r="18" spans="1:9" ht="6" customHeight="1" x14ac:dyDescent="0.2">
      <c r="A18" s="15"/>
      <c r="B18" s="12"/>
      <c r="C18" s="21"/>
      <c r="D18" s="12"/>
      <c r="E18" s="21"/>
      <c r="F18" s="12"/>
    </row>
    <row r="19" spans="1:9" ht="46.5" customHeight="1" x14ac:dyDescent="0.2">
      <c r="A19" s="567" t="s">
        <v>182</v>
      </c>
      <c r="B19" s="667"/>
      <c r="C19" s="679" t="s">
        <v>913</v>
      </c>
      <c r="D19" s="689"/>
      <c r="E19" s="689"/>
      <c r="F19" s="690"/>
      <c r="G19" s="30" t="s">
        <v>126</v>
      </c>
      <c r="I19" s="2" t="str">
        <f>IF(C19="",FALSE,A19)</f>
        <v>Founder organisation (max. 150 characters)</v>
      </c>
    </row>
    <row r="20" spans="1:9" ht="6" customHeight="1" x14ac:dyDescent="0.2">
      <c r="A20" s="15"/>
      <c r="B20" s="12"/>
      <c r="C20" s="21"/>
      <c r="D20" s="12"/>
      <c r="E20" s="21"/>
      <c r="F20" s="12"/>
      <c r="G20" s="30" t="s">
        <v>128</v>
      </c>
    </row>
    <row r="21" spans="1:9" ht="12.75" customHeight="1" x14ac:dyDescent="0.2">
      <c r="A21" s="567" t="s">
        <v>44</v>
      </c>
      <c r="B21" s="677"/>
      <c r="C21" s="568" t="s">
        <v>229</v>
      </c>
      <c r="D21" s="691"/>
      <c r="E21" s="691"/>
      <c r="F21" s="582"/>
      <c r="G21" s="30" t="s">
        <v>127</v>
      </c>
      <c r="I21" s="2" t="str">
        <f>IF(C21="",FALSE,A21)</f>
        <v>Type of institution</v>
      </c>
    </row>
    <row r="22" spans="1:9" ht="6" customHeight="1" x14ac:dyDescent="0.2">
      <c r="A22" s="15"/>
      <c r="B22" s="12"/>
      <c r="C22" s="21"/>
      <c r="D22" s="12"/>
      <c r="E22" s="21"/>
      <c r="F22" s="12"/>
    </row>
    <row r="23" spans="1:9" ht="12.75" customHeight="1" x14ac:dyDescent="0.2">
      <c r="A23" s="567" t="s">
        <v>66</v>
      </c>
      <c r="B23" s="667"/>
      <c r="C23" s="687" t="s">
        <v>914</v>
      </c>
      <c r="D23" s="688"/>
      <c r="E23" s="694" t="s">
        <v>159</v>
      </c>
      <c r="F23" s="619"/>
      <c r="I23" s="2" t="str">
        <f>IF(C23="",FALSE,A23)</f>
        <v>National tax number</v>
      </c>
    </row>
    <row r="24" spans="1:9" ht="6" customHeight="1" x14ac:dyDescent="0.2">
      <c r="A24" s="15"/>
      <c r="B24" s="12"/>
      <c r="C24" s="21"/>
      <c r="D24" s="12"/>
      <c r="E24" s="21"/>
      <c r="F24" s="12"/>
    </row>
    <row r="25" spans="1:9" ht="12.75" customHeight="1" x14ac:dyDescent="0.2">
      <c r="A25" s="567" t="s">
        <v>334</v>
      </c>
      <c r="B25" s="667"/>
      <c r="C25" s="687" t="s">
        <v>914</v>
      </c>
      <c r="D25" s="688"/>
      <c r="I25" s="2" t="str">
        <f>IF(C25="",FALSE,A25)</f>
        <v>EU tax number</v>
      </c>
    </row>
    <row r="26" spans="1:9" ht="6" customHeight="1" x14ac:dyDescent="0.2">
      <c r="A26" s="15"/>
      <c r="B26" s="12"/>
      <c r="C26" s="21"/>
      <c r="D26" s="12"/>
      <c r="E26" s="21"/>
      <c r="F26" s="12"/>
    </row>
    <row r="27" spans="1:9" ht="12.75" customHeight="1" x14ac:dyDescent="0.2">
      <c r="A27" s="567" t="s">
        <v>65</v>
      </c>
      <c r="B27" s="667"/>
      <c r="C27" s="687" t="s">
        <v>915</v>
      </c>
      <c r="D27" s="688"/>
      <c r="I27" s="2" t="str">
        <f>IF(C27="",FALSE,A27)</f>
        <v>Registry number</v>
      </c>
    </row>
    <row r="28" spans="1:9" ht="3" customHeight="1" x14ac:dyDescent="0.2">
      <c r="A28" s="15"/>
      <c r="B28" s="15"/>
      <c r="C28" s="31"/>
      <c r="D28" s="33"/>
      <c r="I28" s="2"/>
    </row>
    <row r="29" spans="1:9" ht="10.5" customHeight="1" x14ac:dyDescent="0.2">
      <c r="A29" s="15"/>
      <c r="B29" s="12"/>
      <c r="C29" s="21"/>
      <c r="D29" s="12"/>
      <c r="E29" s="21"/>
      <c r="F29" s="12"/>
      <c r="G29" s="7" t="s">
        <v>102</v>
      </c>
      <c r="H29" s="3">
        <f>IF($C$39="Hungary",1,IF($C$39="Croatia",2,0))</f>
        <v>2</v>
      </c>
    </row>
    <row r="30" spans="1:9" ht="19.5" customHeight="1" x14ac:dyDescent="0.2">
      <c r="A30" s="663" t="s">
        <v>75</v>
      </c>
      <c r="B30" s="682"/>
      <c r="C30" s="683"/>
      <c r="D30" s="683"/>
      <c r="E30" s="21"/>
      <c r="F30" s="12"/>
      <c r="G30" s="7" t="s">
        <v>103</v>
      </c>
      <c r="H30" s="3" t="s">
        <v>157</v>
      </c>
    </row>
    <row r="31" spans="1:9" ht="6" customHeight="1" x14ac:dyDescent="0.2">
      <c r="A31" s="15"/>
      <c r="B31" s="12"/>
      <c r="C31" s="21"/>
      <c r="D31" s="12"/>
      <c r="E31" s="21"/>
      <c r="F31" s="12"/>
      <c r="G31" s="3" t="s">
        <v>104</v>
      </c>
      <c r="H31" s="3" t="str">
        <f>IF($H$29=1,G31,IF($H$29=2,G34,"-"))</f>
        <v>Koprivničko-križevačka županija</v>
      </c>
    </row>
    <row r="32" spans="1:9" ht="25.5" customHeight="1" x14ac:dyDescent="0.2">
      <c r="A32" s="567" t="s">
        <v>118</v>
      </c>
      <c r="B32" s="567"/>
      <c r="C32" s="679" t="s">
        <v>698</v>
      </c>
      <c r="D32" s="680"/>
      <c r="E32" s="681"/>
      <c r="F32" s="12" t="s">
        <v>119</v>
      </c>
      <c r="G32" s="3" t="s">
        <v>105</v>
      </c>
      <c r="H32" s="3" t="str">
        <f>IF($H$29=1,G32,IF($H$29=2,G35,"-"))</f>
        <v>Međimurska županija</v>
      </c>
      <c r="I32" s="2" t="str">
        <f>IF(AND(C32&lt;&gt;"",C34&lt;&gt;"",E34&lt;&gt;"")=TRUE,A32,0)</f>
        <v>Address (permanent residence)</v>
      </c>
    </row>
    <row r="33" spans="1:9" ht="6" customHeight="1" x14ac:dyDescent="0.2">
      <c r="A33" s="567"/>
      <c r="B33" s="567"/>
      <c r="C33" s="12"/>
      <c r="D33" s="22"/>
      <c r="E33" s="22"/>
      <c r="F33" s="12"/>
      <c r="G33" s="3" t="s">
        <v>106</v>
      </c>
      <c r="H33" s="3" t="str">
        <f>IF($H$29=1,G33,IF($H$29=2,G36,"-"))</f>
        <v>Osječko-baranjska županija</v>
      </c>
    </row>
    <row r="34" spans="1:9" ht="25.5" x14ac:dyDescent="0.2">
      <c r="A34" s="567"/>
      <c r="B34" s="567"/>
      <c r="C34" s="23">
        <v>40323</v>
      </c>
      <c r="D34" s="12" t="s">
        <v>46</v>
      </c>
      <c r="E34" s="507" t="s">
        <v>699</v>
      </c>
      <c r="F34" s="12" t="s">
        <v>45</v>
      </c>
      <c r="G34" s="20" t="s">
        <v>107</v>
      </c>
      <c r="H34" s="3" t="str">
        <f>IF($H$29=1,"-",IF($H$29=2,G37,"-"))</f>
        <v>Virovitičko-podravska županija</v>
      </c>
    </row>
    <row r="35" spans="1:9" ht="6" customHeight="1" x14ac:dyDescent="0.2">
      <c r="A35" s="15"/>
      <c r="B35" s="15"/>
      <c r="C35" s="31"/>
      <c r="D35" s="12"/>
      <c r="E35" s="32"/>
      <c r="F35" s="12"/>
      <c r="G35" s="20" t="s">
        <v>108</v>
      </c>
      <c r="H35" s="3" t="str">
        <f>IF($H$29=1,"-",IF($H$29=2,G38,"-"))</f>
        <v>Bjelovarsko-bilogorska županija</v>
      </c>
    </row>
    <row r="36" spans="1:9" ht="12.75" customHeight="1" x14ac:dyDescent="0.2">
      <c r="A36" s="15"/>
      <c r="B36" s="15"/>
      <c r="C36" s="23"/>
      <c r="D36" s="12" t="s">
        <v>129</v>
      </c>
      <c r="E36" s="32"/>
      <c r="F36" s="12"/>
      <c r="G36" s="20" t="s">
        <v>109</v>
      </c>
      <c r="H36" s="3" t="str">
        <f>IF($H$29=1,"-",IF($H$29=2,G39,"-"))</f>
        <v>Požeško-slavonska županija</v>
      </c>
    </row>
    <row r="37" spans="1:9" ht="6" customHeight="1" x14ac:dyDescent="0.2">
      <c r="A37" s="18"/>
      <c r="B37" s="18"/>
      <c r="C37" s="12"/>
      <c r="D37" s="12"/>
      <c r="E37" s="25"/>
      <c r="F37" s="12"/>
      <c r="G37" s="20" t="s">
        <v>110</v>
      </c>
      <c r="H37" s="3" t="str">
        <f>IF($H$29=1,"-",IF($H$29=2,G40,"-"))</f>
        <v>Varaždinska županija</v>
      </c>
    </row>
    <row r="38" spans="1:9" ht="6" customHeight="1" x14ac:dyDescent="0.2">
      <c r="A38" s="15"/>
      <c r="B38" s="12"/>
      <c r="C38" s="12"/>
      <c r="D38" s="12"/>
      <c r="E38" s="12"/>
      <c r="F38" s="12"/>
      <c r="G38" s="20" t="s">
        <v>111</v>
      </c>
      <c r="H38" s="3" t="str">
        <f>IF($H$29=1,"-",IF($H$29=2,G41,"-"))</f>
        <v>Vukovarsko-srijemska županija</v>
      </c>
    </row>
    <row r="39" spans="1:9" ht="12.75" customHeight="1" x14ac:dyDescent="0.2">
      <c r="A39" s="567" t="s">
        <v>61</v>
      </c>
      <c r="B39" s="677"/>
      <c r="C39" s="65" t="s">
        <v>103</v>
      </c>
      <c r="D39" s="31"/>
      <c r="E39" s="31"/>
      <c r="F39" s="31"/>
      <c r="G39" s="20" t="s">
        <v>113</v>
      </c>
      <c r="H39" s="219" t="str">
        <f>IF(OR(LEN(C41)=LEN(H30),LEN(C41)=LEN(H31),LEN(C41)=LEN(H32),LEN(C41)=LEN(H33),LEN(C41)=LEN(H34),LEN(C41)=LEN(H35),LEN(C41)=LEN(H36),LEN(C41)=LEN(H37),LEN(C41)=LEN(H38)),C41,0)</f>
        <v>Međimurska županija</v>
      </c>
      <c r="I39" s="2" t="str">
        <f>IF(C39="",FALSE,A39)</f>
        <v>Country</v>
      </c>
    </row>
    <row r="40" spans="1:9" ht="6" customHeight="1" x14ac:dyDescent="0.2">
      <c r="A40" s="15"/>
      <c r="B40" s="12"/>
      <c r="C40" s="12"/>
      <c r="D40" s="12"/>
      <c r="E40" s="12"/>
      <c r="F40" s="12"/>
      <c r="G40" s="20" t="s">
        <v>114</v>
      </c>
      <c r="H40" s="3" t="s">
        <v>115</v>
      </c>
    </row>
    <row r="41" spans="1:9" ht="12.75" customHeight="1" x14ac:dyDescent="0.2">
      <c r="A41" s="567" t="s">
        <v>112</v>
      </c>
      <c r="B41" s="677"/>
      <c r="C41" s="568" t="s">
        <v>108</v>
      </c>
      <c r="D41" s="672"/>
      <c r="F41" s="31"/>
      <c r="G41" s="20" t="s">
        <v>116</v>
      </c>
      <c r="H41" s="3" t="s">
        <v>117</v>
      </c>
      <c r="I41" s="220" t="str">
        <f>IF(C41="",FALSE,IF(C41="-",FALSE,IF(H39&lt;&gt;C41,FALSE,A41)))</f>
        <v>NUTSIII or equivalent</v>
      </c>
    </row>
    <row r="42" spans="1:9" ht="6" customHeight="1" x14ac:dyDescent="0.2">
      <c r="A42" s="18"/>
      <c r="B42" s="18"/>
      <c r="C42" s="12"/>
      <c r="D42" s="12"/>
      <c r="E42" s="25"/>
      <c r="F42" s="12"/>
      <c r="G42" s="11" t="e">
        <f>MID(#REF!,1,1)</f>
        <v>#REF!</v>
      </c>
    </row>
    <row r="43" spans="1:9" ht="12.75" customHeight="1" x14ac:dyDescent="0.2">
      <c r="A43" s="567" t="s">
        <v>47</v>
      </c>
      <c r="B43" s="571"/>
      <c r="C43" s="673" t="s">
        <v>700</v>
      </c>
      <c r="D43" s="573"/>
      <c r="E43" s="573"/>
      <c r="F43" s="574"/>
      <c r="G43" s="7"/>
      <c r="I43" s="2" t="str">
        <f>IF(C43="",FALSE,IF(C43="-",FALSE,A43))</f>
        <v>Web</v>
      </c>
    </row>
    <row r="44" spans="1:9" x14ac:dyDescent="0.2">
      <c r="A44" s="15"/>
      <c r="B44" s="12"/>
      <c r="C44" s="35"/>
      <c r="D44" s="34"/>
      <c r="E44" s="34"/>
      <c r="F44" s="34"/>
      <c r="G44" s="7"/>
      <c r="I44" s="2"/>
    </row>
    <row r="45" spans="1:9" ht="10.5" customHeight="1" x14ac:dyDescent="0.2">
      <c r="A45" s="15"/>
      <c r="B45" s="12"/>
      <c r="C45" s="21"/>
      <c r="D45" s="12"/>
      <c r="E45" s="21"/>
      <c r="F45" s="12"/>
      <c r="G45" s="7" t="s">
        <v>102</v>
      </c>
      <c r="H45" s="3">
        <f>IF($C$55="Hungary",1,IF($C$55="Croatia",2,0))</f>
        <v>2</v>
      </c>
    </row>
    <row r="46" spans="1:9" ht="19.5" customHeight="1" x14ac:dyDescent="0.2">
      <c r="A46" s="674" t="s">
        <v>131</v>
      </c>
      <c r="B46" s="675"/>
      <c r="C46" s="676"/>
      <c r="D46" s="676"/>
      <c r="E46" s="21"/>
      <c r="F46" s="12"/>
      <c r="G46" s="7" t="s">
        <v>103</v>
      </c>
      <c r="H46" s="3" t="s">
        <v>157</v>
      </c>
    </row>
    <row r="47" spans="1:9" ht="6" customHeight="1" x14ac:dyDescent="0.2">
      <c r="A47" s="15"/>
      <c r="B47" s="12"/>
      <c r="C47" s="21"/>
      <c r="D47" s="12"/>
      <c r="E47" s="21"/>
      <c r="F47" s="12"/>
      <c r="G47" s="3" t="s">
        <v>104</v>
      </c>
      <c r="H47" s="3" t="str">
        <f>IF($H$45=1,G47,IF($H$45=2,G50,"-"))</f>
        <v>Koprivničko-križevačka županija</v>
      </c>
    </row>
    <row r="48" spans="1:9" ht="25.5" customHeight="1" x14ac:dyDescent="0.2">
      <c r="A48" s="567" t="s">
        <v>118</v>
      </c>
      <c r="B48" s="567"/>
      <c r="C48" s="679" t="s">
        <v>698</v>
      </c>
      <c r="D48" s="680"/>
      <c r="E48" s="681"/>
      <c r="F48" s="12" t="s">
        <v>119</v>
      </c>
      <c r="G48" s="3" t="s">
        <v>105</v>
      </c>
      <c r="H48" s="3" t="str">
        <f>IF($H$45=1,G48,IF($H$45=2,G51,"-"))</f>
        <v>Međimurska županija</v>
      </c>
      <c r="I48" s="2" t="str">
        <f>IF(AND(C48&lt;&gt;"",C50&lt;&gt;"",E50&lt;&gt;"")=TRUE,A48,0)</f>
        <v>Address (permanent residence)</v>
      </c>
    </row>
    <row r="49" spans="1:9" ht="6" customHeight="1" x14ac:dyDescent="0.2">
      <c r="A49" s="567"/>
      <c r="B49" s="567"/>
      <c r="C49" s="12"/>
      <c r="D49" s="22"/>
      <c r="E49" s="22"/>
      <c r="F49" s="12"/>
      <c r="G49" s="3" t="s">
        <v>106</v>
      </c>
      <c r="H49" s="3" t="str">
        <f>IF($H$45=1,G49,IF($H$45=2,G52,"-"))</f>
        <v>Osječko-baranjska županija</v>
      </c>
    </row>
    <row r="50" spans="1:9" ht="25.5" x14ac:dyDescent="0.2">
      <c r="A50" s="567"/>
      <c r="B50" s="567"/>
      <c r="C50" s="23">
        <v>40323</v>
      </c>
      <c r="D50" s="12" t="s">
        <v>46</v>
      </c>
      <c r="E50" s="507" t="s">
        <v>699</v>
      </c>
      <c r="F50" s="12" t="s">
        <v>45</v>
      </c>
      <c r="G50" s="20" t="s">
        <v>107</v>
      </c>
      <c r="H50" s="3" t="str">
        <f>IF($H$45=1,"-",IF($H$45=2,G53,"-"))</f>
        <v>Virovitičko-podravska županija</v>
      </c>
    </row>
    <row r="51" spans="1:9" ht="6" customHeight="1" x14ac:dyDescent="0.2">
      <c r="A51" s="15"/>
      <c r="B51" s="15"/>
      <c r="C51" s="31"/>
      <c r="D51" s="12"/>
      <c r="E51" s="32"/>
      <c r="F51" s="12"/>
      <c r="G51" s="20" t="s">
        <v>108</v>
      </c>
      <c r="H51" s="3" t="str">
        <f>IF($H$45=1,"-",IF($H$45=2,G54,"-"))</f>
        <v>Bjelovarsko-bilogorska županija</v>
      </c>
    </row>
    <row r="52" spans="1:9" ht="12.75" customHeight="1" x14ac:dyDescent="0.2">
      <c r="A52" s="15"/>
      <c r="B52" s="15"/>
      <c r="C52" s="23"/>
      <c r="D52" s="12" t="s">
        <v>129</v>
      </c>
      <c r="E52" s="32"/>
      <c r="F52" s="12"/>
      <c r="G52" s="20" t="s">
        <v>109</v>
      </c>
      <c r="H52" s="3" t="str">
        <f>IF($H$45=1,"-",IF($H$45=2,G55,"-"))</f>
        <v>Požeško-slavonska županija</v>
      </c>
    </row>
    <row r="53" spans="1:9" ht="6" customHeight="1" x14ac:dyDescent="0.2">
      <c r="A53" s="18"/>
      <c r="B53" s="18"/>
      <c r="C53" s="12"/>
      <c r="D53" s="12"/>
      <c r="E53" s="25"/>
      <c r="F53" s="12"/>
      <c r="G53" s="20" t="s">
        <v>110</v>
      </c>
      <c r="H53" s="3" t="str">
        <f>IF($H$45=1,"-",IF($H$45=2,G56,"-"))</f>
        <v>Varaždinska županija</v>
      </c>
    </row>
    <row r="54" spans="1:9" ht="6" customHeight="1" x14ac:dyDescent="0.2">
      <c r="A54" s="15"/>
      <c r="B54" s="12"/>
      <c r="C54" s="12"/>
      <c r="D54" s="12"/>
      <c r="E54" s="12"/>
      <c r="F54" s="12"/>
      <c r="G54" s="20" t="s">
        <v>111</v>
      </c>
      <c r="H54" s="3" t="str">
        <f>IF($H$45=1,"-",IF($H$45=2,G57,"-"))</f>
        <v>Vukovarsko-srijemska županija</v>
      </c>
    </row>
    <row r="55" spans="1:9" ht="12.75" customHeight="1" x14ac:dyDescent="0.2">
      <c r="A55" s="567" t="s">
        <v>61</v>
      </c>
      <c r="B55" s="677"/>
      <c r="C55" s="65" t="s">
        <v>103</v>
      </c>
      <c r="D55" s="31"/>
      <c r="E55" s="31"/>
      <c r="F55" s="31"/>
      <c r="G55" s="20" t="s">
        <v>113</v>
      </c>
      <c r="H55" s="219" t="str">
        <f>IF(OR(LEN(C57)=LEN(H46),LEN(C57)=LEN(H47),LEN(C57)=LEN(H48),LEN(C57)=LEN(H49),LEN(C57)=LEN(H50),LEN(C57)=LEN(H51),LEN(C57)=LEN(H52),LEN(C57)=LEN(H53),LEN(C57)=LEN(H54)),C57,0)</f>
        <v>Međimurska županija</v>
      </c>
      <c r="I55" s="2" t="str">
        <f>IF(C55="",FALSE,A55)</f>
        <v>Country</v>
      </c>
    </row>
    <row r="56" spans="1:9" ht="6" customHeight="1" x14ac:dyDescent="0.2">
      <c r="A56" s="15"/>
      <c r="B56" s="12"/>
      <c r="C56" s="12"/>
      <c r="D56" s="12"/>
      <c r="E56" s="12"/>
      <c r="F56" s="12"/>
      <c r="G56" s="20" t="s">
        <v>114</v>
      </c>
      <c r="H56" s="3" t="s">
        <v>115</v>
      </c>
    </row>
    <row r="57" spans="1:9" ht="12.75" customHeight="1" x14ac:dyDescent="0.2">
      <c r="A57" s="567" t="s">
        <v>112</v>
      </c>
      <c r="B57" s="677"/>
      <c r="C57" s="697" t="s">
        <v>108</v>
      </c>
      <c r="D57" s="672"/>
      <c r="F57" s="31"/>
      <c r="G57" s="20" t="s">
        <v>116</v>
      </c>
      <c r="H57" s="3" t="s">
        <v>117</v>
      </c>
      <c r="I57" s="220" t="str">
        <f>IF(C57="",FALSE,IF(C57="-",FALSE,IF(H55&lt;&gt;C57,FALSE,A57)))</f>
        <v>NUTSIII or equivalent</v>
      </c>
    </row>
    <row r="58" spans="1:9" ht="6" customHeight="1" x14ac:dyDescent="0.2">
      <c r="A58" s="18"/>
      <c r="B58" s="18"/>
      <c r="C58" s="12"/>
      <c r="D58" s="12"/>
      <c r="E58" s="25"/>
      <c r="F58" s="12"/>
      <c r="G58" s="11" t="e">
        <f>MID(#REF!,1,1)</f>
        <v>#REF!</v>
      </c>
    </row>
    <row r="59" spans="1:9" ht="15" customHeight="1" x14ac:dyDescent="0.2">
      <c r="A59" s="18"/>
      <c r="B59" s="18"/>
      <c r="C59" s="12"/>
      <c r="D59" s="12"/>
      <c r="E59" s="25"/>
      <c r="F59" s="12"/>
      <c r="G59" s="11" t="s">
        <v>130</v>
      </c>
    </row>
    <row r="60" spans="1:9" ht="10.5" customHeight="1" x14ac:dyDescent="0.2">
      <c r="A60" s="15"/>
      <c r="B60" s="12"/>
      <c r="C60" s="21"/>
      <c r="D60" s="12"/>
      <c r="E60" s="21"/>
      <c r="F60" s="12"/>
      <c r="G60" s="7" t="s">
        <v>102</v>
      </c>
      <c r="H60" s="3">
        <f>IF($C$70="Hungary",1,IF($C$70="Croatia",2,0))</f>
        <v>0</v>
      </c>
    </row>
    <row r="61" spans="1:9" ht="19.5" customHeight="1" x14ac:dyDescent="0.2">
      <c r="A61" s="674" t="s">
        <v>74</v>
      </c>
      <c r="B61" s="675"/>
      <c r="C61" s="676"/>
      <c r="D61" s="676"/>
      <c r="E61" s="21"/>
      <c r="F61" s="12"/>
      <c r="G61" s="7" t="s">
        <v>103</v>
      </c>
    </row>
    <row r="62" spans="1:9" ht="6" customHeight="1" x14ac:dyDescent="0.2">
      <c r="A62" s="15"/>
      <c r="B62" s="12"/>
      <c r="C62" s="21"/>
      <c r="D62" s="12"/>
      <c r="E62" s="21"/>
      <c r="F62" s="12"/>
      <c r="G62" s="3" t="s">
        <v>104</v>
      </c>
      <c r="H62" s="3" t="str">
        <f>IF($H$60=1,G62,IF($H$60=2,G65,"-"))</f>
        <v>-</v>
      </c>
    </row>
    <row r="63" spans="1:9" ht="25.5" customHeight="1" x14ac:dyDescent="0.2">
      <c r="A63" s="567" t="s">
        <v>118</v>
      </c>
      <c r="B63" s="567"/>
      <c r="C63" s="679" t="s">
        <v>691</v>
      </c>
      <c r="D63" s="680"/>
      <c r="E63" s="681"/>
      <c r="F63" s="12" t="s">
        <v>119</v>
      </c>
      <c r="G63" s="3" t="s">
        <v>105</v>
      </c>
      <c r="H63" s="3" t="str">
        <f>IF($H$60=1,G63,IF($H$60=2,G66,"-"))</f>
        <v>-</v>
      </c>
      <c r="I63" s="2">
        <f>IF(AND(C63&lt;&gt;"",C65&lt;&gt;"",E65&lt;&gt;"")=TRUE,A63,0)</f>
        <v>0</v>
      </c>
    </row>
    <row r="64" spans="1:9" ht="6" customHeight="1" x14ac:dyDescent="0.2">
      <c r="A64" s="567"/>
      <c r="B64" s="567"/>
      <c r="C64" s="12"/>
      <c r="D64" s="22"/>
      <c r="E64" s="22"/>
      <c r="F64" s="12"/>
      <c r="G64" s="3" t="s">
        <v>106</v>
      </c>
      <c r="H64" s="3" t="str">
        <f>IF($H$60=1,G64,IF($H$60=2,G67,"-"))</f>
        <v>-</v>
      </c>
    </row>
    <row r="65" spans="1:9" ht="25.5" x14ac:dyDescent="0.2">
      <c r="A65" s="567"/>
      <c r="B65" s="567"/>
      <c r="C65" s="23"/>
      <c r="D65" s="12" t="s">
        <v>46</v>
      </c>
      <c r="E65" s="24"/>
      <c r="F65" s="12" t="s">
        <v>45</v>
      </c>
      <c r="G65" s="20" t="s">
        <v>107</v>
      </c>
      <c r="H65" s="3" t="str">
        <f>IF($H$60=1,"-",IF($H$60=2,G68,"-"))</f>
        <v>-</v>
      </c>
    </row>
    <row r="66" spans="1:9" ht="6" customHeight="1" x14ac:dyDescent="0.2">
      <c r="A66" s="15"/>
      <c r="B66" s="15"/>
      <c r="C66" s="31"/>
      <c r="D66" s="12"/>
      <c r="E66" s="32"/>
      <c r="F66" s="12"/>
      <c r="G66" s="20" t="s">
        <v>108</v>
      </c>
      <c r="H66" s="3" t="str">
        <f>IF($H$60=1,"-",IF($H$60=2,G69,"-"))</f>
        <v>-</v>
      </c>
    </row>
    <row r="67" spans="1:9" ht="12.75" customHeight="1" x14ac:dyDescent="0.2">
      <c r="A67" s="15"/>
      <c r="B67" s="15"/>
      <c r="C67" s="23"/>
      <c r="D67" s="12" t="s">
        <v>129</v>
      </c>
      <c r="E67" s="32"/>
      <c r="F67" s="12"/>
      <c r="G67" s="20" t="s">
        <v>109</v>
      </c>
      <c r="H67" s="3" t="str">
        <f>IF($H$60=1,"-",IF($H$60=2,G70,"-"))</f>
        <v>-</v>
      </c>
    </row>
    <row r="68" spans="1:9" ht="6" customHeight="1" x14ac:dyDescent="0.2">
      <c r="A68" s="18"/>
      <c r="B68" s="18"/>
      <c r="C68" s="12"/>
      <c r="D68" s="12"/>
      <c r="E68" s="25"/>
      <c r="F68" s="12"/>
      <c r="G68" s="20" t="s">
        <v>110</v>
      </c>
      <c r="H68" s="3" t="str">
        <f>IF($H$60=1,"-",IF($H$60=2,G71,"-"))</f>
        <v>-</v>
      </c>
    </row>
    <row r="69" spans="1:9" ht="6" customHeight="1" x14ac:dyDescent="0.2">
      <c r="A69" s="15"/>
      <c r="B69" s="12"/>
      <c r="C69" s="12"/>
      <c r="D69" s="12"/>
      <c r="E69" s="12"/>
      <c r="F69" s="12"/>
      <c r="G69" s="20" t="s">
        <v>111</v>
      </c>
      <c r="H69" s="3" t="str">
        <f>IF($H$60=1,"-",IF($H$60=2,G72,"-"))</f>
        <v>-</v>
      </c>
    </row>
    <row r="70" spans="1:9" ht="12.75" customHeight="1" x14ac:dyDescent="0.2">
      <c r="A70" s="567" t="s">
        <v>61</v>
      </c>
      <c r="B70" s="677"/>
      <c r="C70" s="65"/>
      <c r="D70" s="31"/>
      <c r="E70" s="31"/>
      <c r="F70" s="31"/>
      <c r="G70" s="20" t="s">
        <v>113</v>
      </c>
      <c r="H70" s="219">
        <f>IF(OR(LEN(C72)=LEN(H61),LEN(C72)=LEN(H62),LEN(C72)=LEN(H63),LEN(C72)=LEN(H64),LEN(C72)=LEN(H65),LEN(C72)=LEN(H66),LEN(C72)=LEN(H67),LEN(C72)=LEN(H68),LEN(C72)=LEN(H69)),C72,0)</f>
        <v>0</v>
      </c>
      <c r="I70" s="2" t="b">
        <f>IF(C70="",FALSE,A70)</f>
        <v>0</v>
      </c>
    </row>
    <row r="71" spans="1:9" ht="6" customHeight="1" x14ac:dyDescent="0.2">
      <c r="A71" s="15"/>
      <c r="B71" s="12"/>
      <c r="C71" s="12"/>
      <c r="D71" s="12"/>
      <c r="E71" s="12"/>
      <c r="F71" s="12"/>
      <c r="G71" s="20" t="s">
        <v>114</v>
      </c>
      <c r="H71" s="3" t="s">
        <v>115</v>
      </c>
    </row>
    <row r="72" spans="1:9" ht="12.75" customHeight="1" x14ac:dyDescent="0.2">
      <c r="A72" s="567" t="s">
        <v>112</v>
      </c>
      <c r="B72" s="677"/>
      <c r="C72" s="568"/>
      <c r="D72" s="672"/>
      <c r="F72" s="31"/>
      <c r="G72" s="20" t="s">
        <v>116</v>
      </c>
      <c r="H72" s="3" t="s">
        <v>117</v>
      </c>
      <c r="I72" s="220" t="b">
        <f>IF(C72="",FALSE,IF(H70&lt;&gt;C72,FALSE,A72))</f>
        <v>0</v>
      </c>
    </row>
    <row r="73" spans="1:9" ht="6" customHeight="1" x14ac:dyDescent="0.2">
      <c r="A73" s="18"/>
      <c r="B73" s="18"/>
      <c r="C73" s="12"/>
      <c r="D73" s="12"/>
      <c r="E73" s="25"/>
      <c r="F73" s="12"/>
      <c r="G73" s="11" t="e">
        <f>MID(#REF!,1,1)</f>
        <v>#REF!</v>
      </c>
    </row>
    <row r="74" spans="1:9" ht="6" customHeight="1" x14ac:dyDescent="0.2">
      <c r="A74" s="18"/>
      <c r="B74" s="18"/>
      <c r="C74" s="12"/>
      <c r="D74" s="12"/>
      <c r="E74" s="25"/>
      <c r="F74" s="12"/>
      <c r="G74" s="11"/>
    </row>
    <row r="75" spans="1:9" ht="19.5" customHeight="1" x14ac:dyDescent="0.2">
      <c r="A75" s="674" t="s">
        <v>83</v>
      </c>
      <c r="B75" s="675"/>
      <c r="C75" s="676"/>
      <c r="D75" s="676"/>
      <c r="E75" s="21"/>
      <c r="F75" s="12"/>
      <c r="G75" s="7"/>
    </row>
    <row r="76" spans="1:9" ht="9" customHeight="1" x14ac:dyDescent="0.2">
      <c r="A76" s="18"/>
      <c r="B76" s="18"/>
      <c r="C76" s="12"/>
      <c r="D76" s="12"/>
      <c r="E76" s="25"/>
      <c r="F76" s="12"/>
      <c r="G76" s="3" t="str">
        <f>IF(G78=FALSE,C41,FALSE)</f>
        <v>Međimurska županija</v>
      </c>
    </row>
    <row r="77" spans="1:9" x14ac:dyDescent="0.2">
      <c r="A77" s="567" t="s">
        <v>120</v>
      </c>
      <c r="B77" s="567"/>
      <c r="C77" s="66" t="s">
        <v>115</v>
      </c>
      <c r="D77" s="25" t="s">
        <v>121</v>
      </c>
      <c r="E77" s="508" t="s">
        <v>671</v>
      </c>
      <c r="F77" s="25" t="s">
        <v>122</v>
      </c>
      <c r="G77" s="3">
        <f>MATCH(C41,H31:H38,0)</f>
        <v>2</v>
      </c>
      <c r="I77" s="2" t="str">
        <f>IF(AND(C77&lt;&gt;"",C79&lt;&gt;"",E77&lt;&gt;"",E79&lt;&gt;"")=TRUE,A77,0)</f>
        <v xml:space="preserve">Contact  person </v>
      </c>
    </row>
    <row r="78" spans="1:9" ht="6" customHeight="1" x14ac:dyDescent="0.2">
      <c r="A78" s="567"/>
      <c r="B78" s="567"/>
      <c r="C78" s="25"/>
      <c r="D78" s="25"/>
      <c r="E78" s="25"/>
      <c r="F78" s="25"/>
      <c r="G78" s="3" t="b">
        <f>ISERR(G77)</f>
        <v>0</v>
      </c>
    </row>
    <row r="79" spans="1:9" x14ac:dyDescent="0.2">
      <c r="A79" s="567"/>
      <c r="B79" s="567"/>
      <c r="C79" s="508" t="s">
        <v>701</v>
      </c>
      <c r="D79" s="25" t="s">
        <v>48</v>
      </c>
      <c r="E79" s="508" t="s">
        <v>702</v>
      </c>
      <c r="F79" s="25" t="s">
        <v>123</v>
      </c>
      <c r="I79" s="2"/>
    </row>
    <row r="80" spans="1:9" ht="6" customHeight="1" x14ac:dyDescent="0.2">
      <c r="A80" s="26"/>
      <c r="B80" s="26"/>
      <c r="C80" s="25"/>
      <c r="D80" s="25"/>
      <c r="E80" s="25"/>
      <c r="F80" s="25"/>
    </row>
    <row r="81" spans="1:9" ht="12.75" customHeight="1" x14ac:dyDescent="0.2">
      <c r="A81" s="567" t="s">
        <v>403</v>
      </c>
      <c r="B81" s="571"/>
      <c r="C81" s="509" t="s">
        <v>916</v>
      </c>
      <c r="D81" s="12" t="s">
        <v>62</v>
      </c>
      <c r="E81" s="510" t="s">
        <v>917</v>
      </c>
      <c r="F81" s="25" t="s">
        <v>404</v>
      </c>
      <c r="I81" s="2" t="str">
        <f>IF(C81="",FALSE,A81)</f>
        <v>Telephone/ Mobile number</v>
      </c>
    </row>
    <row r="82" spans="1:9" ht="6" customHeight="1" x14ac:dyDescent="0.2">
      <c r="A82" s="15"/>
      <c r="B82" s="12"/>
      <c r="C82" s="12"/>
      <c r="D82" s="12"/>
      <c r="E82" s="25"/>
      <c r="F82" s="25"/>
    </row>
    <row r="83" spans="1:9" x14ac:dyDescent="0.2">
      <c r="A83" s="567" t="s">
        <v>49</v>
      </c>
      <c r="B83" s="571"/>
      <c r="C83" s="673" t="s">
        <v>703</v>
      </c>
      <c r="D83" s="573"/>
      <c r="E83" s="573"/>
      <c r="F83" s="574"/>
      <c r="G83" s="7"/>
      <c r="I83" s="2" t="str">
        <f>IF(AND(NOT(ISERROR(SEARCH("@",C83)&gt;0)),C83&lt;&gt;""),A83,FALSE)</f>
        <v>E-mail</v>
      </c>
    </row>
    <row r="84" spans="1:9" ht="15" x14ac:dyDescent="0.2">
      <c r="A84" s="14"/>
      <c r="G84" s="7"/>
    </row>
    <row r="85" spans="1:9" ht="19.5" customHeight="1" x14ac:dyDescent="0.2">
      <c r="A85" s="674" t="s">
        <v>68</v>
      </c>
      <c r="B85" s="675"/>
      <c r="C85" s="676"/>
      <c r="D85" s="676"/>
      <c r="E85" s="21"/>
      <c r="F85" s="12"/>
      <c r="G85" s="7"/>
    </row>
    <row r="86" spans="1:9" ht="9" customHeight="1" x14ac:dyDescent="0.2">
      <c r="A86" s="18"/>
      <c r="B86" s="18"/>
      <c r="C86" s="12"/>
      <c r="D86" s="12"/>
      <c r="E86" s="25"/>
      <c r="F86" s="12"/>
    </row>
    <row r="87" spans="1:9" x14ac:dyDescent="0.2">
      <c r="A87" s="567" t="s">
        <v>120</v>
      </c>
      <c r="B87" s="567"/>
      <c r="C87" s="66" t="s">
        <v>115</v>
      </c>
      <c r="D87" s="25" t="s">
        <v>121</v>
      </c>
      <c r="E87" s="508" t="s">
        <v>918</v>
      </c>
      <c r="F87" s="25" t="s">
        <v>122</v>
      </c>
      <c r="I87" s="2" t="str">
        <f>IF(AND(C87&lt;&gt;"",C89&lt;&gt;"",E87&lt;&gt;"",E89&lt;&gt;"")=TRUE,A87,0)</f>
        <v xml:space="preserve">Contact  person </v>
      </c>
    </row>
    <row r="88" spans="1:9" ht="6" customHeight="1" x14ac:dyDescent="0.2">
      <c r="A88" s="567"/>
      <c r="B88" s="567"/>
      <c r="C88" s="25"/>
      <c r="D88" s="25"/>
      <c r="E88" s="25"/>
      <c r="F88" s="25"/>
    </row>
    <row r="89" spans="1:9" x14ac:dyDescent="0.2">
      <c r="A89" s="567"/>
      <c r="B89" s="567"/>
      <c r="C89" s="508" t="s">
        <v>704</v>
      </c>
      <c r="D89" s="25" t="s">
        <v>48</v>
      </c>
      <c r="E89" s="508" t="s">
        <v>705</v>
      </c>
      <c r="F89" s="25" t="s">
        <v>123</v>
      </c>
      <c r="I89" s="2"/>
    </row>
    <row r="90" spans="1:9" ht="6" customHeight="1" x14ac:dyDescent="0.2">
      <c r="A90" s="26"/>
      <c r="B90" s="26"/>
      <c r="C90" s="25"/>
      <c r="D90" s="25"/>
      <c r="E90" s="25"/>
      <c r="F90" s="25"/>
    </row>
    <row r="91" spans="1:9" ht="12.75" customHeight="1" x14ac:dyDescent="0.2">
      <c r="A91" s="567" t="s">
        <v>403</v>
      </c>
      <c r="B91" s="571"/>
      <c r="C91" s="509" t="s">
        <v>920</v>
      </c>
      <c r="D91" s="12" t="s">
        <v>62</v>
      </c>
      <c r="E91" s="510" t="s">
        <v>919</v>
      </c>
      <c r="F91" s="25" t="s">
        <v>404</v>
      </c>
      <c r="I91" s="2" t="str">
        <f>IF(C91="",FALSE,A91)</f>
        <v>Telephone/ Mobile number</v>
      </c>
    </row>
    <row r="92" spans="1:9" ht="6" customHeight="1" x14ac:dyDescent="0.2">
      <c r="A92" s="15"/>
      <c r="B92" s="12"/>
      <c r="C92" s="12"/>
      <c r="D92" s="12"/>
      <c r="E92" s="25"/>
      <c r="F92" s="25"/>
    </row>
    <row r="93" spans="1:9" x14ac:dyDescent="0.2">
      <c r="A93" s="567" t="s">
        <v>49</v>
      </c>
      <c r="B93" s="571"/>
      <c r="C93" s="673" t="s">
        <v>706</v>
      </c>
      <c r="D93" s="573"/>
      <c r="E93" s="573"/>
      <c r="F93" s="574"/>
      <c r="G93" s="7"/>
      <c r="I93" s="2" t="str">
        <f>IF(AND(NOT(ISERROR(SEARCH("@",C93)&gt;0)),C93&lt;&gt;""),A93,FALSE)</f>
        <v>E-mail</v>
      </c>
    </row>
    <row r="94" spans="1:9" ht="15" x14ac:dyDescent="0.2">
      <c r="A94" s="14"/>
      <c r="G94" s="7"/>
    </row>
    <row r="95" spans="1:9" ht="15" x14ac:dyDescent="0.2">
      <c r="A95" s="14"/>
    </row>
    <row r="96" spans="1:9" x14ac:dyDescent="0.2">
      <c r="A96" s="674" t="s">
        <v>70</v>
      </c>
      <c r="B96" s="675"/>
      <c r="C96" s="676"/>
      <c r="D96" s="676"/>
      <c r="G96" s="7">
        <v>2014</v>
      </c>
    </row>
    <row r="97" spans="1:10" ht="15" x14ac:dyDescent="0.2">
      <c r="A97" s="14"/>
      <c r="G97" s="7">
        <v>2015</v>
      </c>
    </row>
    <row r="98" spans="1:10" ht="12.75" customHeight="1" x14ac:dyDescent="0.2">
      <c r="A98" s="567" t="s">
        <v>40</v>
      </c>
      <c r="B98" s="667"/>
      <c r="C98" s="668"/>
      <c r="E98" s="65">
        <v>2015</v>
      </c>
      <c r="F98" s="7" t="s">
        <v>125</v>
      </c>
      <c r="G98" s="7">
        <v>2016</v>
      </c>
      <c r="I98" s="2" t="str">
        <f>IF(E98="",FALSE,A98)</f>
        <v>Relevant year (last closed budgetary year)</v>
      </c>
    </row>
    <row r="99" spans="1:10" ht="6" customHeight="1" x14ac:dyDescent="0.2"/>
    <row r="100" spans="1:10" ht="12.75" customHeight="1" x14ac:dyDescent="0.2">
      <c r="A100" s="15" t="s">
        <v>71</v>
      </c>
      <c r="B100" s="28"/>
      <c r="C100" s="216">
        <v>12</v>
      </c>
      <c r="D100" s="7" t="s">
        <v>132</v>
      </c>
      <c r="E100" s="40" t="s">
        <v>135</v>
      </c>
      <c r="F100" s="65" t="s">
        <v>134</v>
      </c>
      <c r="G100" s="7" t="s">
        <v>59</v>
      </c>
      <c r="H100" s="3" t="b">
        <f>ISBLANK(F100)</f>
        <v>0</v>
      </c>
      <c r="I100" s="2" t="str">
        <f>IF(C100="",FALSE,A100)</f>
        <v>Number of staff</v>
      </c>
      <c r="J100" s="2" t="str">
        <f>IF(F100="",FALSE,E100)</f>
        <v>Data in currency:</v>
      </c>
    </row>
    <row r="101" spans="1:10" ht="6" customHeight="1" x14ac:dyDescent="0.25">
      <c r="A101" s="27"/>
      <c r="G101" s="7" t="s">
        <v>133</v>
      </c>
    </row>
    <row r="102" spans="1:10" ht="12.75" customHeight="1" x14ac:dyDescent="0.2">
      <c r="A102" s="567" t="s">
        <v>72</v>
      </c>
      <c r="B102" s="667"/>
      <c r="C102" s="668"/>
      <c r="E102" s="217">
        <v>26606023.760000002</v>
      </c>
      <c r="F102" s="38" t="str">
        <f>IF(H$100=FALSE,F$100,"")</f>
        <v>HRK</v>
      </c>
      <c r="G102" s="7" t="s">
        <v>134</v>
      </c>
      <c r="I102" s="2" t="str">
        <f>IF(E102="",FALSE,A102)</f>
        <v>Last closed budgetary year annual revenue</v>
      </c>
    </row>
    <row r="103" spans="1:10" ht="6" customHeight="1" x14ac:dyDescent="0.2">
      <c r="A103" s="15"/>
      <c r="B103" s="15"/>
      <c r="C103" s="36"/>
      <c r="E103" s="37"/>
      <c r="F103" s="38"/>
      <c r="G103" s="7" t="s">
        <v>130</v>
      </c>
      <c r="I103" s="2"/>
    </row>
    <row r="104" spans="1:10" ht="12.75" customHeight="1" x14ac:dyDescent="0.2">
      <c r="A104" s="567" t="s">
        <v>29</v>
      </c>
      <c r="B104" s="667"/>
      <c r="C104" s="668"/>
      <c r="E104" s="217">
        <v>157446437.68000001</v>
      </c>
      <c r="F104" s="38" t="str">
        <f>IF(H$100=FALSE,F$100,"")</f>
        <v>HRK</v>
      </c>
      <c r="G104" s="7"/>
      <c r="I104" s="2" t="str">
        <f>IF(E104="",FALSE,A104)</f>
        <v xml:space="preserve">Last closed budgetary year balance sheet total </v>
      </c>
    </row>
    <row r="105" spans="1:10" ht="6" customHeight="1" x14ac:dyDescent="0.2">
      <c r="F105" s="38"/>
    </row>
    <row r="106" spans="1:10" ht="12.75" customHeight="1" x14ac:dyDescent="0.2">
      <c r="A106" s="567" t="s">
        <v>73</v>
      </c>
      <c r="B106" s="667"/>
      <c r="C106" s="668"/>
      <c r="E106" s="217">
        <v>-2174277.08</v>
      </c>
      <c r="F106" s="38" t="str">
        <f>IF(H$100=FALSE,F$100,"")</f>
        <v>HRK</v>
      </c>
      <c r="G106" s="7"/>
      <c r="I106" s="2" t="str">
        <f>IF(E106="",FALSE,A106)</f>
        <v>Last closed budgetary year result</v>
      </c>
    </row>
    <row r="107" spans="1:10" ht="6" customHeight="1" x14ac:dyDescent="0.2"/>
    <row r="108" spans="1:10" x14ac:dyDescent="0.2">
      <c r="A108" s="567" t="s">
        <v>164</v>
      </c>
      <c r="B108" s="667"/>
      <c r="C108" s="668"/>
      <c r="D108" s="668"/>
      <c r="E108" s="668"/>
      <c r="F108" s="210">
        <v>0</v>
      </c>
      <c r="I108" s="2" t="str">
        <f>IF(F108="",FALSE,A108)</f>
        <v>Awarded de minimis grant in the current and the previous two financial years (EUR):</v>
      </c>
    </row>
  </sheetData>
  <sheetProtection password="F58B" sheet="1" objects="1" scenarios="1" formatCells="0" selectLockedCells="1"/>
  <mergeCells count="63">
    <mergeCell ref="A9:B9"/>
    <mergeCell ref="C9:F9"/>
    <mergeCell ref="J1:K1"/>
    <mergeCell ref="A2:F2"/>
    <mergeCell ref="A5:B5"/>
    <mergeCell ref="C5:F5"/>
    <mergeCell ref="A7:B7"/>
    <mergeCell ref="C7:F7"/>
    <mergeCell ref="A17:B17"/>
    <mergeCell ref="A19:B19"/>
    <mergeCell ref="C19:F19"/>
    <mergeCell ref="A11:B11"/>
    <mergeCell ref="A13:B13"/>
    <mergeCell ref="C13:D13"/>
    <mergeCell ref="A15:B15"/>
    <mergeCell ref="C15:D15"/>
    <mergeCell ref="E11:F14"/>
    <mergeCell ref="D17:E17"/>
    <mergeCell ref="A21:B21"/>
    <mergeCell ref="C21:F21"/>
    <mergeCell ref="A30:D30"/>
    <mergeCell ref="A32:B34"/>
    <mergeCell ref="C32:E32"/>
    <mergeCell ref="A23:B23"/>
    <mergeCell ref="C23:D23"/>
    <mergeCell ref="A25:B25"/>
    <mergeCell ref="C25:D25"/>
    <mergeCell ref="A27:B27"/>
    <mergeCell ref="C27:D27"/>
    <mergeCell ref="E23:F23"/>
    <mergeCell ref="A39:B39"/>
    <mergeCell ref="A41:B41"/>
    <mergeCell ref="C41:D41"/>
    <mergeCell ref="A55:B55"/>
    <mergeCell ref="A57:B57"/>
    <mergeCell ref="C57:D57"/>
    <mergeCell ref="A83:B83"/>
    <mergeCell ref="C83:F83"/>
    <mergeCell ref="A85:D85"/>
    <mergeCell ref="A96:D96"/>
    <mergeCell ref="A93:B93"/>
    <mergeCell ref="C93:F93"/>
    <mergeCell ref="A75:D75"/>
    <mergeCell ref="A77:B79"/>
    <mergeCell ref="A70:B70"/>
    <mergeCell ref="A72:B72"/>
    <mergeCell ref="C72:D72"/>
    <mergeCell ref="A63:B65"/>
    <mergeCell ref="C63:E63"/>
    <mergeCell ref="A106:C106"/>
    <mergeCell ref="A108:E108"/>
    <mergeCell ref="A43:B43"/>
    <mergeCell ref="C43:F43"/>
    <mergeCell ref="A46:D46"/>
    <mergeCell ref="A48:B50"/>
    <mergeCell ref="C48:E48"/>
    <mergeCell ref="A91:B91"/>
    <mergeCell ref="A87:B89"/>
    <mergeCell ref="A102:C102"/>
    <mergeCell ref="A104:C104"/>
    <mergeCell ref="A98:C98"/>
    <mergeCell ref="A61:D61"/>
    <mergeCell ref="A81:B81"/>
  </mergeCells>
  <phoneticPr fontId="3" type="noConversion"/>
  <conditionalFormatting sqref="A32:B36">
    <cfRule type="cellIs" dxfId="560" priority="39" stopIfTrue="1" operator="notEqual">
      <formula>$I$32</formula>
    </cfRule>
  </conditionalFormatting>
  <conditionalFormatting sqref="A77:B79 A87:B89">
    <cfRule type="cellIs" dxfId="559" priority="38" stopIfTrue="1" operator="notEqual">
      <formula>$I$77</formula>
    </cfRule>
  </conditionalFormatting>
  <conditionalFormatting sqref="A83:B83">
    <cfRule type="cellIs" dxfId="558" priority="37" stopIfTrue="1" operator="notEqual">
      <formula>$I$83</formula>
    </cfRule>
  </conditionalFormatting>
  <conditionalFormatting sqref="A15:B15">
    <cfRule type="cellIs" dxfId="557" priority="36" stopIfTrue="1" operator="notEqual">
      <formula>$I$15</formula>
    </cfRule>
  </conditionalFormatting>
  <conditionalFormatting sqref="A17:B17">
    <cfRule type="cellIs" dxfId="556" priority="35" stopIfTrue="1" operator="notEqual">
      <formula>$I$17</formula>
    </cfRule>
  </conditionalFormatting>
  <conditionalFormatting sqref="A23:B23">
    <cfRule type="cellIs" dxfId="555" priority="34" stopIfTrue="1" operator="notEqual">
      <formula>$I$23</formula>
    </cfRule>
  </conditionalFormatting>
  <conditionalFormatting sqref="A25:B25">
    <cfRule type="cellIs" dxfId="554" priority="33" stopIfTrue="1" operator="notEqual">
      <formula>$I$25</formula>
    </cfRule>
  </conditionalFormatting>
  <conditionalFormatting sqref="A27:B28">
    <cfRule type="cellIs" dxfId="553" priority="32" stopIfTrue="1" operator="notEqual">
      <formula>$I$27</formula>
    </cfRule>
  </conditionalFormatting>
  <conditionalFormatting sqref="A43:B45 A56:B56 A47:B47 A53:B54 A58:B60 A73:B74 A71:B71 A62:B62 A68:B69">
    <cfRule type="cellIs" dxfId="552" priority="31" stopIfTrue="1" operator="notEqual">
      <formula>$I$43</formula>
    </cfRule>
  </conditionalFormatting>
  <conditionalFormatting sqref="A48:B50">
    <cfRule type="cellIs" dxfId="551" priority="30" stopIfTrue="1" operator="notEqual">
      <formula>$I$48</formula>
    </cfRule>
  </conditionalFormatting>
  <conditionalFormatting sqref="A55:B55">
    <cfRule type="cellIs" dxfId="550" priority="29" stopIfTrue="1" operator="notEqual">
      <formula>$I$55</formula>
    </cfRule>
  </conditionalFormatting>
  <conditionalFormatting sqref="A57:B57">
    <cfRule type="cellIs" dxfId="549" priority="28" stopIfTrue="1" operator="notEqual">
      <formula>$I$57</formula>
    </cfRule>
  </conditionalFormatting>
  <conditionalFormatting sqref="A63:B65">
    <cfRule type="cellIs" dxfId="548" priority="27" stopIfTrue="1" operator="notEqual">
      <formula>$I$63</formula>
    </cfRule>
  </conditionalFormatting>
  <conditionalFormatting sqref="A70:B70">
    <cfRule type="cellIs" dxfId="547" priority="26" stopIfTrue="1" operator="notEqual">
      <formula>$I$70</formula>
    </cfRule>
  </conditionalFormatting>
  <conditionalFormatting sqref="A72:B72">
    <cfRule type="cellIs" dxfId="546" priority="25" stopIfTrue="1" operator="notEqual">
      <formula>$I$72</formula>
    </cfRule>
  </conditionalFormatting>
  <conditionalFormatting sqref="A98:C98">
    <cfRule type="cellIs" dxfId="545" priority="24" stopIfTrue="1" operator="notEqual">
      <formula>$I$98</formula>
    </cfRule>
  </conditionalFormatting>
  <conditionalFormatting sqref="A100">
    <cfRule type="cellIs" dxfId="544" priority="23" stopIfTrue="1" operator="notEqual">
      <formula>$I$100</formula>
    </cfRule>
  </conditionalFormatting>
  <conditionalFormatting sqref="E100">
    <cfRule type="cellIs" dxfId="543" priority="22" stopIfTrue="1" operator="notEqual">
      <formula>$J$100</formula>
    </cfRule>
  </conditionalFormatting>
  <conditionalFormatting sqref="A102:C102">
    <cfRule type="cellIs" dxfId="542" priority="21" stopIfTrue="1" operator="notEqual">
      <formula>$I$102</formula>
    </cfRule>
  </conditionalFormatting>
  <conditionalFormatting sqref="A104:C104">
    <cfRule type="cellIs" dxfId="541" priority="20" stopIfTrue="1" operator="notEqual">
      <formula>$I$104</formula>
    </cfRule>
  </conditionalFormatting>
  <conditionalFormatting sqref="A106:C106">
    <cfRule type="cellIs" dxfId="540" priority="19" stopIfTrue="1" operator="notEqual">
      <formula>$I$106</formula>
    </cfRule>
  </conditionalFormatting>
  <conditionalFormatting sqref="A108:E108">
    <cfRule type="cellIs" dxfId="539" priority="18" stopIfTrue="1" operator="notEqual">
      <formula>$I$108</formula>
    </cfRule>
  </conditionalFormatting>
  <conditionalFormatting sqref="A93:B93">
    <cfRule type="cellIs" dxfId="538" priority="16" stopIfTrue="1" operator="notEqual">
      <formula>$I$93</formula>
    </cfRule>
  </conditionalFormatting>
  <conditionalFormatting sqref="E11:F14">
    <cfRule type="cellIs" dxfId="537" priority="15" stopIfTrue="1" operator="equal">
      <formula>$K$11</formula>
    </cfRule>
  </conditionalFormatting>
  <conditionalFormatting sqref="A81:B81">
    <cfRule type="cellIs" dxfId="536" priority="14" stopIfTrue="1" operator="notEqual">
      <formula>$I$81</formula>
    </cfRule>
  </conditionalFormatting>
  <conditionalFormatting sqref="A91:B91">
    <cfRule type="cellIs" dxfId="535" priority="13" stopIfTrue="1" operator="notEqual">
      <formula>$I$91</formula>
    </cfRule>
  </conditionalFormatting>
  <conditionalFormatting sqref="A5:B5">
    <cfRule type="cellIs" dxfId="534" priority="12" stopIfTrue="1" operator="notEqual">
      <formula>$I$5</formula>
    </cfRule>
  </conditionalFormatting>
  <conditionalFormatting sqref="A7:B7">
    <cfRule type="cellIs" dxfId="533" priority="11" stopIfTrue="1" operator="notEqual">
      <formula>$I$7</formula>
    </cfRule>
  </conditionalFormatting>
  <conditionalFormatting sqref="A9:B9">
    <cfRule type="cellIs" dxfId="532" priority="10" stopIfTrue="1" operator="notEqual">
      <formula>$I$9</formula>
    </cfRule>
  </conditionalFormatting>
  <conditionalFormatting sqref="A19:B19">
    <cfRule type="cellIs" dxfId="531" priority="9" stopIfTrue="1" operator="notEqual">
      <formula>$I$19</formula>
    </cfRule>
  </conditionalFormatting>
  <conditionalFormatting sqref="A21:B21">
    <cfRule type="cellIs" dxfId="530" priority="8" stopIfTrue="1" operator="notEqual">
      <formula>$I$21</formula>
    </cfRule>
  </conditionalFormatting>
  <conditionalFormatting sqref="A11:B11">
    <cfRule type="cellIs" dxfId="529" priority="7" stopIfTrue="1" operator="notEqual">
      <formula>$I$11</formula>
    </cfRule>
  </conditionalFormatting>
  <conditionalFormatting sqref="A13:B13">
    <cfRule type="cellIs" dxfId="528" priority="6" stopIfTrue="1" operator="notEqual">
      <formula>$I$13</formula>
    </cfRule>
  </conditionalFormatting>
  <conditionalFormatting sqref="A39:B39">
    <cfRule type="cellIs" dxfId="527" priority="5" stopIfTrue="1" operator="notEqual">
      <formula>$I$39</formula>
    </cfRule>
  </conditionalFormatting>
  <conditionalFormatting sqref="A41:B41">
    <cfRule type="cellIs" dxfId="526" priority="4" stopIfTrue="1" operator="notEqual">
      <formula>$I$41</formula>
    </cfRule>
  </conditionalFormatting>
  <conditionalFormatting sqref="C41:D41">
    <cfRule type="cellIs" dxfId="525" priority="3" stopIfTrue="1" operator="notEqual">
      <formula>$H$39</formula>
    </cfRule>
  </conditionalFormatting>
  <conditionalFormatting sqref="C57:D57">
    <cfRule type="cellIs" dxfId="524" priority="2" stopIfTrue="1" operator="notEqual">
      <formula>$H$55</formula>
    </cfRule>
  </conditionalFormatting>
  <conditionalFormatting sqref="C72:D72">
    <cfRule type="cellIs" dxfId="523" priority="1" stopIfTrue="1" operator="notEqual">
      <formula>$H$70</formula>
    </cfRule>
  </conditionalFormatting>
  <dataValidations count="32">
    <dataValidation type="decimal" allowBlank="1" showInputMessage="1" showErrorMessage="1" sqref="F108">
      <formula1>0</formula1>
      <formula2>500000</formula2>
    </dataValidation>
    <dataValidation type="whole" allowBlank="1" showInputMessage="1" showErrorMessage="1" sqref="C36 C52 C67">
      <formula1>0</formula1>
      <formula2>100000</formula2>
    </dataValidation>
    <dataValidation type="textLength" operator="lessThan" allowBlank="1" showInputMessage="1" showErrorMessage="1" sqref="C43:F44">
      <formula1>40</formula1>
    </dataValidation>
    <dataValidation type="textLength" operator="lessThan" allowBlank="1" showInputMessage="1" showErrorMessage="1" sqref="C28:D28">
      <formula1>25</formula1>
    </dataValidation>
    <dataValidation type="textLength" operator="lessThan" allowBlank="1" showInputMessage="1" showErrorMessage="1" sqref="C19:F19">
      <formula1>150</formula1>
    </dataValidation>
    <dataValidation type="whole" allowBlank="1" showInputMessage="1" showErrorMessage="1" sqref="C18">
      <formula1>1000</formula1>
      <formula2>2009</formula2>
    </dataValidation>
    <dataValidation type="list" allowBlank="1" showInputMessage="1" showErrorMessage="1" sqref="C15">
      <formula1>$H$15:$H$16</formula1>
    </dataValidation>
    <dataValidation type="textLength" allowBlank="1" showInputMessage="1" showErrorMessage="1" sqref="C6:F6 C8:F8">
      <formula1>6</formula1>
      <formula2>150</formula2>
    </dataValidation>
    <dataValidation type="list" allowBlank="1" showInputMessage="1" showErrorMessage="1" sqref="C55 C39">
      <formula1>$G$1:$G$2</formula1>
    </dataValidation>
    <dataValidation type="textLength" allowBlank="1" showInputMessage="1" showErrorMessage="1" sqref="C32:E32 C48:E48 C63:E63">
      <formula1>1</formula1>
      <formula2>100</formula2>
    </dataValidation>
    <dataValidation type="textLength" allowBlank="1" showInputMessage="1" showErrorMessage="1" sqref="E34:E37 E59 E73:E76 E50:E53 E85:E86 E42 E65:E68">
      <formula1>2</formula1>
      <formula2>50</formula2>
    </dataValidation>
    <dataValidation type="whole" operator="equal" allowBlank="1" showInputMessage="1" showErrorMessage="1" sqref="C37 C85:C86 C73:C76 C53 C58:C59 C42 C68">
      <formula1>4</formula1>
    </dataValidation>
    <dataValidation type="textLength" allowBlank="1" showInputMessage="1" showErrorMessage="1" sqref="C49:E49 C33:E33 C64:E64">
      <formula1>4</formula1>
      <formula2>100</formula2>
    </dataValidation>
    <dataValidation type="textLength" allowBlank="1" showInputMessage="1" showErrorMessage="1" sqref="E78 C9:F9 E88 C80 C90">
      <formula1>1</formula1>
      <formula2>20</formula2>
    </dataValidation>
    <dataValidation type="textLength" allowBlank="1" showInputMessage="1" showErrorMessage="1" sqref="E80 E90">
      <formula1>1</formula1>
      <formula2>30</formula2>
    </dataValidation>
    <dataValidation type="textLength" allowBlank="1" showInputMessage="1" showErrorMessage="1" sqref="C54:F54 C10:F10 C38:F38 C69:F69">
      <formula1>3</formula1>
      <formula2>50</formula2>
    </dataValidation>
    <dataValidation type="whole" allowBlank="1" showInputMessage="1" showErrorMessage="1" sqref="C51 C35 C66">
      <formula1>1000</formula1>
      <formula2>9999</formula2>
    </dataValidation>
    <dataValidation type="decimal" allowBlank="1" showInputMessage="1" showErrorMessage="1" sqref="C100">
      <formula1>0.1</formula1>
      <formula2>99999999</formula2>
    </dataValidation>
    <dataValidation type="whole" allowBlank="1" showInputMessage="1" showErrorMessage="1" sqref="C50 C34">
      <formula1>1000</formula1>
      <formula2>99999</formula2>
    </dataValidation>
    <dataValidation type="textLength" operator="lessThanOrEqual" allowBlank="1" showInputMessage="1" showErrorMessage="1" sqref="C27:D27 C23:D23 C25:D25">
      <formula1>25</formula1>
    </dataValidation>
    <dataValidation type="list" allowBlank="1" showInputMessage="1" showErrorMessage="1" sqref="F100">
      <formula1>$G$100:$G$103</formula1>
    </dataValidation>
    <dataValidation type="list" allowBlank="1" showInputMessage="1" showErrorMessage="1" sqref="E98">
      <formula1>$G$96:$G$98</formula1>
    </dataValidation>
    <dataValidation type="list" allowBlank="1" showInputMessage="1" showErrorMessage="1" sqref="C72:D72">
      <formula1>$H$62:$H$69</formula1>
    </dataValidation>
    <dataValidation type="list" allowBlank="1" showInputMessage="1" showErrorMessage="1" sqref="C70">
      <formula1>$G$59:$G$61</formula1>
    </dataValidation>
    <dataValidation type="list" allowBlank="1" showInputMessage="1" showErrorMessage="1" sqref="C41:D41">
      <formula1>$H$30:$H$38</formula1>
    </dataValidation>
    <dataValidation type="list" allowBlank="1" showInputMessage="1" showErrorMessage="1" sqref="C77 C87">
      <formula1>$H$12:$H$13</formula1>
    </dataValidation>
    <dataValidation type="list" allowBlank="1" showInputMessage="1" showErrorMessage="1" sqref="C21:F21">
      <formula1>$J$2:$J$13</formula1>
    </dataValidation>
    <dataValidation type="textLength" allowBlank="1" showInputMessage="1" showErrorMessage="1" sqref="C5:F5 C7:F7">
      <formula1>1</formula1>
      <formula2>150</formula2>
    </dataValidation>
    <dataValidation type="list" allowBlank="1" showInputMessage="1" showErrorMessage="1" sqref="C57:D57">
      <formula1>$H$46:$H$54</formula1>
    </dataValidation>
    <dataValidation type="whole" allowBlank="1" showInputMessage="1" showErrorMessage="1" sqref="C65">
      <formula1>0</formula1>
      <formula2>99999</formula2>
    </dataValidation>
    <dataValidation type="textLength" operator="lessThanOrEqual" allowBlank="1" showInputMessage="1" showErrorMessage="1" sqref="C17">
      <formula1>15</formula1>
    </dataValidation>
    <dataValidation type="textLength" operator="lessThanOrEqual" allowBlank="1" showInputMessage="1" showErrorMessage="1" sqref="E77 E79 C79 E87 E89 C89">
      <formula1>30</formula1>
    </dataValidation>
  </dataValidations>
  <pageMargins left="0.98425196850393704" right="0.39370078740157483" top="0.74803149606299213" bottom="0.74803149606299213" header="0.31496062992125984" footer="0.31496062992125984"/>
  <pageSetup orientation="landscape" horizontalDpi="300" verticalDpi="300"/>
  <headerFooter>
    <oddFooter xml:space="preserve">&amp;C&amp;"Arial,Italic"&amp;8&amp;A&amp;R&amp;"Arial,Italic"&amp;8Page &amp;P of &amp;N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topLeftCell="A68" workbookViewId="0">
      <selection activeCell="E87" sqref="E87"/>
    </sheetView>
  </sheetViews>
  <sheetFormatPr defaultColWidth="9.140625" defaultRowHeight="12.75" x14ac:dyDescent="0.2"/>
  <cols>
    <col min="1" max="2" width="14.85546875" style="3" customWidth="1"/>
    <col min="3" max="3" width="18.85546875" style="3" customWidth="1"/>
    <col min="4" max="4" width="10.7109375" style="3" customWidth="1"/>
    <col min="5" max="5" width="18.85546875" style="3" customWidth="1"/>
    <col min="6" max="6" width="12.140625" style="3" customWidth="1"/>
    <col min="7" max="7" width="24.140625" style="3" hidden="1" customWidth="1"/>
    <col min="8" max="8" width="18" style="3" hidden="1" customWidth="1"/>
    <col min="9" max="9" width="9.140625" style="3" hidden="1" customWidth="1"/>
    <col min="10" max="10" width="12.42578125" style="3" hidden="1" customWidth="1"/>
    <col min="11" max="14" width="9.140625" style="3" hidden="1" customWidth="1"/>
    <col min="15" max="16384" width="9.140625" style="3"/>
  </cols>
  <sheetData>
    <row r="1" spans="1:15" ht="6.75" hidden="1" customHeight="1" x14ac:dyDescent="0.2">
      <c r="G1" s="7" t="s">
        <v>102</v>
      </c>
      <c r="H1" s="3">
        <f>IF($C$11="Hungary",1,IF($C$11="Croatia",2,0))</f>
        <v>2</v>
      </c>
      <c r="J1" s="567" t="s">
        <v>44</v>
      </c>
      <c r="K1" s="677"/>
    </row>
    <row r="2" spans="1:15" ht="15.75" x14ac:dyDescent="0.25">
      <c r="A2" s="560" t="s">
        <v>349</v>
      </c>
      <c r="B2" s="561"/>
      <c r="C2" s="561"/>
      <c r="D2" s="561"/>
      <c r="E2" s="561"/>
      <c r="F2" s="561"/>
      <c r="G2" s="7" t="s">
        <v>103</v>
      </c>
      <c r="J2" t="s">
        <v>228</v>
      </c>
    </row>
    <row r="3" spans="1:15" ht="11.25" customHeight="1" x14ac:dyDescent="0.2">
      <c r="A3" s="14"/>
      <c r="G3" s="3" t="s">
        <v>104</v>
      </c>
      <c r="H3" s="3" t="str">
        <f>IF($H$1=1,G3,IF($H$1=2,G6,"-"))</f>
        <v>Koprivničko-križevačka županija</v>
      </c>
      <c r="J3" t="s">
        <v>229</v>
      </c>
    </row>
    <row r="4" spans="1:15" ht="15" x14ac:dyDescent="0.25">
      <c r="A4" s="19" t="s">
        <v>350</v>
      </c>
      <c r="G4" s="3" t="s">
        <v>105</v>
      </c>
      <c r="H4" s="3" t="str">
        <f>IF($H$1=1,G4,IF($H$1=2,G7,"-"))</f>
        <v>Međimurska županija</v>
      </c>
      <c r="J4" s="3" t="s">
        <v>232</v>
      </c>
    </row>
    <row r="5" spans="1:15" ht="46.5" customHeight="1" x14ac:dyDescent="0.2">
      <c r="A5" s="567" t="s">
        <v>181</v>
      </c>
      <c r="B5" s="571"/>
      <c r="C5" s="679" t="s">
        <v>682</v>
      </c>
      <c r="D5" s="689"/>
      <c r="E5" s="689"/>
      <c r="F5" s="690"/>
      <c r="G5" s="3" t="s">
        <v>106</v>
      </c>
      <c r="H5" s="3" t="str">
        <f>IF($H$1=1,G5,IF($H$1=2,G8,"-"))</f>
        <v>Osječko-baranjska županija</v>
      </c>
      <c r="I5" s="2" t="str">
        <f>IF(C5="",FALSE,A5)</f>
        <v>Official name of the organization in original language (max. 150 characters)</v>
      </c>
      <c r="J5" t="s">
        <v>230</v>
      </c>
    </row>
    <row r="6" spans="1:15" ht="6" customHeight="1" x14ac:dyDescent="0.2">
      <c r="A6" s="15"/>
      <c r="B6" s="12"/>
      <c r="C6" s="12"/>
      <c r="D6" s="12"/>
      <c r="E6" s="12"/>
      <c r="F6" s="12"/>
      <c r="G6" s="20" t="s">
        <v>107</v>
      </c>
      <c r="H6" s="3" t="str">
        <f>IF($H$1=1,"-",IF($H$1=2,G9,"-"))</f>
        <v>Virovitičko-podravska županija</v>
      </c>
      <c r="J6" t="s">
        <v>153</v>
      </c>
    </row>
    <row r="7" spans="1:15" ht="46.5" customHeight="1" x14ac:dyDescent="0.2">
      <c r="A7" s="567" t="s">
        <v>163</v>
      </c>
      <c r="B7" s="667"/>
      <c r="C7" s="679" t="s">
        <v>683</v>
      </c>
      <c r="D7" s="689"/>
      <c r="E7" s="689"/>
      <c r="F7" s="690"/>
      <c r="G7" s="20" t="s">
        <v>108</v>
      </c>
      <c r="H7" s="3" t="str">
        <f>IF($H$1=1,"-",IF($H$1=2,G10,"-"))</f>
        <v>Bjelovarsko-bilogorska županija</v>
      </c>
      <c r="I7" s="2" t="str">
        <f>IF(C7="",FALSE,A7)</f>
        <v>Official name of the organization in English (if exists) (max. 150 characters)</v>
      </c>
      <c r="J7" t="s">
        <v>231</v>
      </c>
    </row>
    <row r="8" spans="1:15" ht="6" customHeight="1" x14ac:dyDescent="0.2">
      <c r="A8" s="15"/>
      <c r="B8" s="12"/>
      <c r="C8" s="12"/>
      <c r="D8" s="12"/>
      <c r="E8" s="12"/>
      <c r="F8" s="12"/>
      <c r="G8" s="20" t="s">
        <v>109</v>
      </c>
      <c r="H8" s="3" t="str">
        <f>IF($H$1=1,"-",IF($H$1=2,G11,"-"))</f>
        <v>Požeško-slavonska županija</v>
      </c>
      <c r="J8" t="s">
        <v>156</v>
      </c>
    </row>
    <row r="9" spans="1:15" ht="25.5" customHeight="1" x14ac:dyDescent="0.2">
      <c r="A9" s="567" t="s">
        <v>180</v>
      </c>
      <c r="B9" s="571"/>
      <c r="C9" s="687" t="s">
        <v>682</v>
      </c>
      <c r="D9" s="695"/>
      <c r="E9" s="695"/>
      <c r="F9" s="696"/>
      <c r="G9" s="20" t="s">
        <v>110</v>
      </c>
      <c r="H9" s="3" t="str">
        <f>IF($H$1=1,"-",IF($H$1=2,G12,"-"))</f>
        <v>Varaždinska županija</v>
      </c>
      <c r="I9" s="2" t="str">
        <f>IF(C9="",FALSE,A9)</f>
        <v>Abbreviated name (in original language) (max. 20 characters)</v>
      </c>
      <c r="J9" t="s">
        <v>160</v>
      </c>
      <c r="O9" s="151"/>
    </row>
    <row r="10" spans="1:15" ht="6" customHeight="1" thickBot="1" x14ac:dyDescent="0.25">
      <c r="A10" s="15"/>
      <c r="B10" s="12"/>
      <c r="C10" s="12"/>
      <c r="D10" s="12"/>
      <c r="E10" s="12"/>
      <c r="F10" s="12"/>
      <c r="G10" s="20" t="s">
        <v>111</v>
      </c>
      <c r="H10" s="3" t="str">
        <f>IF($H$1=1,"-",IF($H$1=2,G13,"-"))</f>
        <v>Vukovarsko-srijemska županija</v>
      </c>
      <c r="J10" t="s">
        <v>154</v>
      </c>
    </row>
    <row r="11" spans="1:15" ht="12.75" customHeight="1" thickBot="1" x14ac:dyDescent="0.25">
      <c r="A11" s="567" t="s">
        <v>61</v>
      </c>
      <c r="B11" s="677"/>
      <c r="C11" s="209" t="str">
        <f>IF(OR(C13=G3,C13=G4,C13=G5),G1,IF(LEN(C13)&gt;5,G2,IF(LEN(C13)=5,C39,"")))</f>
        <v>Croatia</v>
      </c>
      <c r="D11" s="31"/>
      <c r="E11" s="684" t="s">
        <v>348</v>
      </c>
      <c r="F11" s="685"/>
      <c r="G11" s="20" t="s">
        <v>113</v>
      </c>
      <c r="I11" s="2" t="str">
        <f>IF(C11="",FALSE,A11)</f>
        <v>Country</v>
      </c>
      <c r="J11" t="s">
        <v>155</v>
      </c>
      <c r="K11" s="168" t="str">
        <f>IF(AND(LEN(C13)&gt;5,OR(C13=G3,C13=G4,C13=G5,C13=G6,C13=G7,C13=G8,C13=G9,C13=G10,C13=G11,C13=G12,C13=G13)),"",IF(C13="","",E11))</f>
        <v/>
      </c>
      <c r="L11" s="168" t="str">
        <f>IF(AND(LEN(C13)&gt;5,OR(C13=G3,C13=G4,C13=G5,C13=G6,C13=G7,C13=G8,C13=G9,C13=G10,C13=G11,C13=G12,C13=G13)),"",IF(C13="","","Lead Beneficiary is not eligible (adjacent or out of the programme area)!"))</f>
        <v/>
      </c>
    </row>
    <row r="12" spans="1:15" ht="6" customHeight="1" x14ac:dyDescent="0.2">
      <c r="A12" s="15"/>
      <c r="B12" s="12"/>
      <c r="C12" s="12"/>
      <c r="D12" s="12"/>
      <c r="E12" s="685"/>
      <c r="F12" s="685"/>
      <c r="G12" s="20" t="s">
        <v>114</v>
      </c>
      <c r="H12" s="3" t="s">
        <v>115</v>
      </c>
      <c r="J12" s="406" t="s">
        <v>401</v>
      </c>
    </row>
    <row r="13" spans="1:15" ht="12.75" customHeight="1" x14ac:dyDescent="0.2">
      <c r="A13" s="567" t="s">
        <v>112</v>
      </c>
      <c r="B13" s="677"/>
      <c r="C13" s="630" t="str">
        <f>IF(AND(ISTEXT(C72),C72&lt;&gt;"-",LEN(C41)&lt;=5,H70=C72),C72,IF(AND(ISTEXT(C41),C41&lt;&gt;"-",H39=C41),C41,""))</f>
        <v>Varaždinska županija</v>
      </c>
      <c r="D13" s="639"/>
      <c r="E13" s="685"/>
      <c r="F13" s="685"/>
      <c r="G13" s="20" t="s">
        <v>116</v>
      </c>
      <c r="H13" s="3" t="s">
        <v>117</v>
      </c>
      <c r="I13" s="2" t="str">
        <f>IF(C13="",FALSE,IF(C13="-",FALSE,A13))</f>
        <v>NUTSIII or equivalent</v>
      </c>
      <c r="J13" s="406" t="s">
        <v>402</v>
      </c>
      <c r="K13" s="3" t="str">
        <f>IF(AND(ISTEXT(C72),C72&lt;&gt;"-"),C72,IF(AND(ISTEXT(C41),C41&lt;&gt;"-"),C41,""))</f>
        <v>Varaždinska županija</v>
      </c>
    </row>
    <row r="14" spans="1:15" ht="6" customHeight="1" x14ac:dyDescent="0.2">
      <c r="A14" s="15"/>
      <c r="B14" s="12"/>
      <c r="C14" s="12"/>
      <c r="D14" s="12"/>
      <c r="E14" s="686"/>
      <c r="F14" s="686"/>
      <c r="G14" s="11" t="s">
        <v>148</v>
      </c>
      <c r="J14" s="1"/>
    </row>
    <row r="15" spans="1:15" ht="12.75" customHeight="1" x14ac:dyDescent="0.2">
      <c r="A15" s="567" t="s">
        <v>43</v>
      </c>
      <c r="B15" s="667"/>
      <c r="C15" s="568" t="s">
        <v>1</v>
      </c>
      <c r="D15" s="672"/>
      <c r="G15" s="3">
        <f>IF($C$11="Hungary",1,IF($C$11="Croatia",2,0))</f>
        <v>2</v>
      </c>
      <c r="H15" s="3" t="s">
        <v>1</v>
      </c>
      <c r="I15" s="2" t="str">
        <f>IF(C15="",FALSE,A15)</f>
        <v>Legal status</v>
      </c>
      <c r="J15" s="1"/>
    </row>
    <row r="16" spans="1:15" ht="6" customHeight="1" x14ac:dyDescent="0.2">
      <c r="A16" s="15"/>
      <c r="B16" s="12"/>
      <c r="C16" s="21"/>
      <c r="D16" s="29"/>
      <c r="E16" s="21"/>
      <c r="F16" s="12"/>
      <c r="H16" s="3" t="s">
        <v>2</v>
      </c>
      <c r="J16" s="1"/>
    </row>
    <row r="17" spans="1:9" ht="12.75" customHeight="1" x14ac:dyDescent="0.2">
      <c r="A17" s="567" t="s">
        <v>76</v>
      </c>
      <c r="B17" s="667"/>
      <c r="C17" s="511" t="s">
        <v>684</v>
      </c>
      <c r="D17" s="692" t="s">
        <v>0</v>
      </c>
      <c r="E17" s="693"/>
      <c r="I17" s="2" t="str">
        <f>IF(C17="",FALSE,A17)</f>
        <v>Date of foundation</v>
      </c>
    </row>
    <row r="18" spans="1:9" ht="6" customHeight="1" x14ac:dyDescent="0.2">
      <c r="A18" s="15"/>
      <c r="B18" s="12"/>
      <c r="C18" s="21"/>
      <c r="D18" s="12"/>
      <c r="E18" s="21"/>
      <c r="F18" s="12"/>
    </row>
    <row r="19" spans="1:9" ht="46.5" customHeight="1" x14ac:dyDescent="0.2">
      <c r="A19" s="567" t="s">
        <v>182</v>
      </c>
      <c r="B19" s="667"/>
      <c r="C19" s="679" t="s">
        <v>685</v>
      </c>
      <c r="D19" s="689"/>
      <c r="E19" s="689"/>
      <c r="F19" s="690"/>
      <c r="G19" s="30" t="s">
        <v>126</v>
      </c>
      <c r="I19" s="2" t="str">
        <f>IF(C19="",FALSE,A19)</f>
        <v>Founder organisation (max. 150 characters)</v>
      </c>
    </row>
    <row r="20" spans="1:9" ht="6" customHeight="1" x14ac:dyDescent="0.2">
      <c r="A20" s="15"/>
      <c r="B20" s="12"/>
      <c r="C20" s="21"/>
      <c r="D20" s="12"/>
      <c r="E20" s="21"/>
      <c r="F20" s="12"/>
      <c r="G20" s="30" t="s">
        <v>128</v>
      </c>
    </row>
    <row r="21" spans="1:9" ht="12.75" customHeight="1" x14ac:dyDescent="0.2">
      <c r="A21" s="567" t="s">
        <v>44</v>
      </c>
      <c r="B21" s="677"/>
      <c r="C21" s="568" t="s">
        <v>229</v>
      </c>
      <c r="D21" s="691"/>
      <c r="E21" s="691"/>
      <c r="F21" s="582"/>
      <c r="G21" s="30" t="s">
        <v>127</v>
      </c>
      <c r="I21" s="2" t="str">
        <f>IF(C21="",FALSE,A21)</f>
        <v>Type of institution</v>
      </c>
    </row>
    <row r="22" spans="1:9" ht="6" customHeight="1" x14ac:dyDescent="0.2">
      <c r="A22" s="15"/>
      <c r="B22" s="12"/>
      <c r="C22" s="21"/>
      <c r="D22" s="12"/>
      <c r="E22" s="21"/>
      <c r="F22" s="12"/>
    </row>
    <row r="23" spans="1:9" ht="12.75" customHeight="1" x14ac:dyDescent="0.2">
      <c r="A23" s="567" t="s">
        <v>66</v>
      </c>
      <c r="B23" s="667"/>
      <c r="C23" s="687" t="s">
        <v>686</v>
      </c>
      <c r="D23" s="688"/>
      <c r="E23" s="694" t="s">
        <v>159</v>
      </c>
      <c r="F23" s="619"/>
      <c r="I23" s="2" t="str">
        <f>IF(C23="",FALSE,A23)</f>
        <v>National tax number</v>
      </c>
    </row>
    <row r="24" spans="1:9" ht="6" customHeight="1" x14ac:dyDescent="0.2">
      <c r="A24" s="15"/>
      <c r="B24" s="12"/>
      <c r="C24" s="21"/>
      <c r="D24" s="12"/>
      <c r="E24" s="21"/>
      <c r="F24" s="12"/>
    </row>
    <row r="25" spans="1:9" ht="12.75" customHeight="1" x14ac:dyDescent="0.2">
      <c r="A25" s="567" t="s">
        <v>334</v>
      </c>
      <c r="B25" s="667"/>
      <c r="C25" s="687" t="s">
        <v>686</v>
      </c>
      <c r="D25" s="688"/>
      <c r="I25" s="2" t="str">
        <f>IF(C25="",FALSE,A25)</f>
        <v>EU tax number</v>
      </c>
    </row>
    <row r="26" spans="1:9" ht="6" customHeight="1" x14ac:dyDescent="0.2">
      <c r="A26" s="15"/>
      <c r="B26" s="12"/>
      <c r="C26" s="21"/>
      <c r="D26" s="12"/>
      <c r="E26" s="21"/>
      <c r="F26" s="12"/>
    </row>
    <row r="27" spans="1:9" ht="12.75" customHeight="1" x14ac:dyDescent="0.2">
      <c r="A27" s="567" t="s">
        <v>65</v>
      </c>
      <c r="B27" s="667"/>
      <c r="C27" s="687" t="s">
        <v>687</v>
      </c>
      <c r="D27" s="688"/>
      <c r="I27" s="2" t="str">
        <f>IF(C27="",FALSE,A27)</f>
        <v>Registry number</v>
      </c>
    </row>
    <row r="28" spans="1:9" ht="3" customHeight="1" x14ac:dyDescent="0.2">
      <c r="A28" s="15"/>
      <c r="B28" s="15"/>
      <c r="C28" s="31"/>
      <c r="D28" s="33"/>
      <c r="I28" s="2"/>
    </row>
    <row r="29" spans="1:9" ht="10.5" customHeight="1" x14ac:dyDescent="0.2">
      <c r="A29" s="15"/>
      <c r="B29" s="12"/>
      <c r="C29" s="21"/>
      <c r="D29" s="12"/>
      <c r="E29" s="21"/>
      <c r="F29" s="12"/>
      <c r="G29" s="7" t="s">
        <v>102</v>
      </c>
      <c r="H29" s="3">
        <f>IF($C$39="Hungary",1,IF($C$39="Croatia",2,0))</f>
        <v>2</v>
      </c>
    </row>
    <row r="30" spans="1:9" ht="19.5" customHeight="1" x14ac:dyDescent="0.2">
      <c r="A30" s="663" t="s">
        <v>75</v>
      </c>
      <c r="B30" s="682"/>
      <c r="C30" s="683"/>
      <c r="D30" s="683"/>
      <c r="E30" s="21"/>
      <c r="F30" s="12"/>
      <c r="G30" s="7" t="s">
        <v>103</v>
      </c>
      <c r="H30" s="3" t="s">
        <v>157</v>
      </c>
    </row>
    <row r="31" spans="1:9" ht="6" customHeight="1" x14ac:dyDescent="0.2">
      <c r="A31" s="15"/>
      <c r="B31" s="12"/>
      <c r="C31" s="21"/>
      <c r="D31" s="12"/>
      <c r="E31" s="21"/>
      <c r="F31" s="12"/>
      <c r="G31" s="3" t="s">
        <v>104</v>
      </c>
      <c r="H31" s="3" t="str">
        <f>IF($H$29=1,G31,IF($H$29=2,G34,"-"))</f>
        <v>Koprivničko-križevačka županija</v>
      </c>
    </row>
    <row r="32" spans="1:9" ht="25.5" customHeight="1" x14ac:dyDescent="0.2">
      <c r="A32" s="567" t="s">
        <v>118</v>
      </c>
      <c r="B32" s="567"/>
      <c r="C32" s="679" t="s">
        <v>688</v>
      </c>
      <c r="D32" s="680"/>
      <c r="E32" s="681"/>
      <c r="F32" s="12" t="s">
        <v>119</v>
      </c>
      <c r="G32" s="3" t="s">
        <v>105</v>
      </c>
      <c r="H32" s="3" t="str">
        <f>IF($H$29=1,G32,IF($H$29=2,G35,"-"))</f>
        <v>Međimurska županija</v>
      </c>
      <c r="I32" s="2" t="str">
        <f>IF(AND(C32&lt;&gt;"",C34&lt;&gt;"",E34&lt;&gt;"")=TRUE,A32,0)</f>
        <v>Address (permanent residence)</v>
      </c>
    </row>
    <row r="33" spans="1:9" ht="6" customHeight="1" x14ac:dyDescent="0.2">
      <c r="A33" s="567"/>
      <c r="B33" s="567"/>
      <c r="C33" s="12"/>
      <c r="D33" s="22"/>
      <c r="E33" s="22"/>
      <c r="F33" s="12"/>
      <c r="G33" s="3" t="s">
        <v>106</v>
      </c>
      <c r="H33" s="3" t="str">
        <f>IF($H$29=1,G33,IF($H$29=2,G36,"-"))</f>
        <v>Osječko-baranjska županija</v>
      </c>
    </row>
    <row r="34" spans="1:9" ht="25.5" x14ac:dyDescent="0.2">
      <c r="A34" s="567"/>
      <c r="B34" s="567"/>
      <c r="C34" s="23">
        <v>42230</v>
      </c>
      <c r="D34" s="12" t="s">
        <v>46</v>
      </c>
      <c r="E34" s="507" t="s">
        <v>689</v>
      </c>
      <c r="F34" s="12" t="s">
        <v>45</v>
      </c>
      <c r="G34" s="20" t="s">
        <v>107</v>
      </c>
      <c r="H34" s="3" t="str">
        <f>IF($H$29=1,"-",IF($H$29=2,G37,"-"))</f>
        <v>Virovitičko-podravska županija</v>
      </c>
    </row>
    <row r="35" spans="1:9" ht="6" customHeight="1" x14ac:dyDescent="0.2">
      <c r="A35" s="15"/>
      <c r="B35" s="15"/>
      <c r="C35" s="31"/>
      <c r="D35" s="12"/>
      <c r="E35" s="32"/>
      <c r="F35" s="12"/>
      <c r="G35" s="20" t="s">
        <v>108</v>
      </c>
      <c r="H35" s="3" t="str">
        <f>IF($H$29=1,"-",IF($H$29=2,G38,"-"))</f>
        <v>Bjelovarsko-bilogorska županija</v>
      </c>
    </row>
    <row r="36" spans="1:9" ht="12.75" customHeight="1" x14ac:dyDescent="0.2">
      <c r="A36" s="15"/>
      <c r="B36" s="15"/>
      <c r="C36" s="23"/>
      <c r="D36" s="12" t="s">
        <v>129</v>
      </c>
      <c r="E36" s="32"/>
      <c r="F36" s="12"/>
      <c r="G36" s="20" t="s">
        <v>109</v>
      </c>
      <c r="H36" s="3" t="str">
        <f>IF($H$29=1,"-",IF($H$29=2,G39,"-"))</f>
        <v>Požeško-slavonska županija</v>
      </c>
    </row>
    <row r="37" spans="1:9" ht="6" customHeight="1" x14ac:dyDescent="0.2">
      <c r="A37" s="18"/>
      <c r="B37" s="18"/>
      <c r="C37" s="12"/>
      <c r="D37" s="12"/>
      <c r="E37" s="25"/>
      <c r="F37" s="12"/>
      <c r="G37" s="20" t="s">
        <v>110</v>
      </c>
      <c r="H37" s="3" t="str">
        <f>IF($H$29=1,"-",IF($H$29=2,G40,"-"))</f>
        <v>Varaždinska županija</v>
      </c>
    </row>
    <row r="38" spans="1:9" ht="6" customHeight="1" x14ac:dyDescent="0.2">
      <c r="A38" s="15"/>
      <c r="B38" s="12"/>
      <c r="C38" s="12"/>
      <c r="D38" s="12"/>
      <c r="E38" s="12"/>
      <c r="F38" s="12"/>
      <c r="G38" s="20" t="s">
        <v>111</v>
      </c>
      <c r="H38" s="3" t="str">
        <f>IF($H$29=1,"-",IF($H$29=2,G41,"-"))</f>
        <v>Vukovarsko-srijemska županija</v>
      </c>
    </row>
    <row r="39" spans="1:9" ht="12.75" customHeight="1" x14ac:dyDescent="0.2">
      <c r="A39" s="567" t="s">
        <v>61</v>
      </c>
      <c r="B39" s="677"/>
      <c r="C39" s="65" t="s">
        <v>103</v>
      </c>
      <c r="D39" s="31"/>
      <c r="E39" s="31"/>
      <c r="F39" s="31"/>
      <c r="G39" s="20" t="s">
        <v>113</v>
      </c>
      <c r="H39" s="219" t="str">
        <f>IF(OR(LEN(C41)=LEN(H30),LEN(C41)=LEN(H31),LEN(C41)=LEN(H32),LEN(C41)=LEN(H33),LEN(C41)=LEN(H34),LEN(C41)=LEN(H35),LEN(C41)=LEN(H36),LEN(C41)=LEN(H37),LEN(C41)=LEN(H38)),C41,0)</f>
        <v>Varaždinska županija</v>
      </c>
      <c r="I39" s="2" t="str">
        <f>IF(C39="",FALSE,A39)</f>
        <v>Country</v>
      </c>
    </row>
    <row r="40" spans="1:9" ht="6" customHeight="1" x14ac:dyDescent="0.2">
      <c r="A40" s="15"/>
      <c r="B40" s="12"/>
      <c r="C40" s="12"/>
      <c r="D40" s="12"/>
      <c r="E40" s="12"/>
      <c r="F40" s="12"/>
      <c r="G40" s="20" t="s">
        <v>114</v>
      </c>
      <c r="H40" s="3" t="s">
        <v>115</v>
      </c>
    </row>
    <row r="41" spans="1:9" ht="12.75" customHeight="1" x14ac:dyDescent="0.2">
      <c r="A41" s="567" t="s">
        <v>112</v>
      </c>
      <c r="B41" s="677"/>
      <c r="C41" s="568" t="s">
        <v>114</v>
      </c>
      <c r="D41" s="672"/>
      <c r="F41" s="31"/>
      <c r="G41" s="20" t="s">
        <v>116</v>
      </c>
      <c r="H41" s="3" t="s">
        <v>117</v>
      </c>
      <c r="I41" s="220" t="str">
        <f>IF(C41="",FALSE,IF(C41="-",FALSE,IF(H39&lt;&gt;C41,FALSE,A41)))</f>
        <v>NUTSIII or equivalent</v>
      </c>
    </row>
    <row r="42" spans="1:9" ht="6" customHeight="1" x14ac:dyDescent="0.2">
      <c r="A42" s="18"/>
      <c r="B42" s="18"/>
      <c r="C42" s="12"/>
      <c r="D42" s="12"/>
      <c r="E42" s="25"/>
      <c r="F42" s="12"/>
      <c r="G42" s="11" t="e">
        <f>MID(#REF!,1,1)</f>
        <v>#REF!</v>
      </c>
    </row>
    <row r="43" spans="1:9" ht="12.75" customHeight="1" x14ac:dyDescent="0.2">
      <c r="A43" s="567" t="s">
        <v>47</v>
      </c>
      <c r="B43" s="571"/>
      <c r="C43" s="673" t="s">
        <v>690</v>
      </c>
      <c r="D43" s="573"/>
      <c r="E43" s="573"/>
      <c r="F43" s="574"/>
      <c r="G43" s="7"/>
      <c r="I43" s="2" t="str">
        <f>IF(C43="",FALSE,IF(C43="-",FALSE,A43))</f>
        <v>Web</v>
      </c>
    </row>
    <row r="44" spans="1:9" x14ac:dyDescent="0.2">
      <c r="A44" s="15"/>
      <c r="B44" s="12"/>
      <c r="C44" s="35"/>
      <c r="D44" s="34"/>
      <c r="E44" s="34"/>
      <c r="F44" s="34"/>
      <c r="G44" s="7"/>
      <c r="I44" s="2"/>
    </row>
    <row r="45" spans="1:9" ht="10.5" customHeight="1" x14ac:dyDescent="0.2">
      <c r="A45" s="15"/>
      <c r="B45" s="12"/>
      <c r="C45" s="21"/>
      <c r="D45" s="12"/>
      <c r="E45" s="21"/>
      <c r="F45" s="12"/>
      <c r="G45" s="7" t="s">
        <v>102</v>
      </c>
      <c r="H45" s="3">
        <f>IF($C$55="Hungary",1,IF($C$55="Croatia",2,0))</f>
        <v>2</v>
      </c>
    </row>
    <row r="46" spans="1:9" ht="19.5" customHeight="1" x14ac:dyDescent="0.2">
      <c r="A46" s="674" t="s">
        <v>131</v>
      </c>
      <c r="B46" s="675"/>
      <c r="C46" s="676"/>
      <c r="D46" s="676"/>
      <c r="E46" s="21"/>
      <c r="F46" s="12"/>
      <c r="G46" s="7" t="s">
        <v>103</v>
      </c>
      <c r="H46" s="3" t="s">
        <v>157</v>
      </c>
    </row>
    <row r="47" spans="1:9" ht="6" customHeight="1" x14ac:dyDescent="0.2">
      <c r="A47" s="15"/>
      <c r="B47" s="12"/>
      <c r="C47" s="21"/>
      <c r="D47" s="12"/>
      <c r="E47" s="21"/>
      <c r="F47" s="12"/>
      <c r="G47" s="3" t="s">
        <v>104</v>
      </c>
      <c r="H47" s="3" t="str">
        <f>IF($H$45=1,G47,IF($H$45=2,G50,"-"))</f>
        <v>Koprivničko-križevačka županija</v>
      </c>
    </row>
    <row r="48" spans="1:9" ht="25.5" customHeight="1" x14ac:dyDescent="0.2">
      <c r="A48" s="567" t="s">
        <v>118</v>
      </c>
      <c r="B48" s="567"/>
      <c r="C48" s="679" t="s">
        <v>688</v>
      </c>
      <c r="D48" s="680"/>
      <c r="E48" s="681"/>
      <c r="F48" s="12" t="s">
        <v>119</v>
      </c>
      <c r="G48" s="3" t="s">
        <v>105</v>
      </c>
      <c r="H48" s="3" t="str">
        <f>IF($H$45=1,G48,IF($H$45=2,G51,"-"))</f>
        <v>Međimurska županija</v>
      </c>
      <c r="I48" s="2" t="str">
        <f>IF(AND(C48&lt;&gt;"",C50&lt;&gt;"",E50&lt;&gt;"")=TRUE,A48,0)</f>
        <v>Address (permanent residence)</v>
      </c>
    </row>
    <row r="49" spans="1:9" ht="6" customHeight="1" x14ac:dyDescent="0.2">
      <c r="A49" s="567"/>
      <c r="B49" s="567"/>
      <c r="C49" s="12"/>
      <c r="D49" s="22"/>
      <c r="E49" s="22"/>
      <c r="F49" s="12"/>
      <c r="G49" s="3" t="s">
        <v>106</v>
      </c>
      <c r="H49" s="3" t="str">
        <f>IF($H$45=1,G49,IF($H$45=2,G52,"-"))</f>
        <v>Osječko-baranjska županija</v>
      </c>
    </row>
    <row r="50" spans="1:9" ht="25.5" x14ac:dyDescent="0.2">
      <c r="A50" s="567"/>
      <c r="B50" s="567"/>
      <c r="C50" s="23">
        <v>42230</v>
      </c>
      <c r="D50" s="12" t="s">
        <v>46</v>
      </c>
      <c r="E50" s="507" t="s">
        <v>689</v>
      </c>
      <c r="F50" s="12" t="s">
        <v>45</v>
      </c>
      <c r="G50" s="20" t="s">
        <v>107</v>
      </c>
      <c r="H50" s="3" t="str">
        <f>IF($H$45=1,"-",IF($H$45=2,G53,"-"))</f>
        <v>Virovitičko-podravska županija</v>
      </c>
    </row>
    <row r="51" spans="1:9" ht="6" customHeight="1" x14ac:dyDescent="0.2">
      <c r="A51" s="15"/>
      <c r="B51" s="15"/>
      <c r="C51" s="31"/>
      <c r="D51" s="12"/>
      <c r="E51" s="32"/>
      <c r="F51" s="12"/>
      <c r="G51" s="20" t="s">
        <v>108</v>
      </c>
      <c r="H51" s="3" t="str">
        <f>IF($H$45=1,"-",IF($H$45=2,G54,"-"))</f>
        <v>Bjelovarsko-bilogorska županija</v>
      </c>
    </row>
    <row r="52" spans="1:9" ht="12.75" customHeight="1" x14ac:dyDescent="0.2">
      <c r="A52" s="15"/>
      <c r="B52" s="15"/>
      <c r="C52" s="23"/>
      <c r="D52" s="12" t="s">
        <v>129</v>
      </c>
      <c r="E52" s="32"/>
      <c r="F52" s="12"/>
      <c r="G52" s="20" t="s">
        <v>109</v>
      </c>
      <c r="H52" s="3" t="str">
        <f>IF($H$45=1,"-",IF($H$45=2,G55,"-"))</f>
        <v>Požeško-slavonska županija</v>
      </c>
    </row>
    <row r="53" spans="1:9" ht="6" customHeight="1" x14ac:dyDescent="0.2">
      <c r="A53" s="18"/>
      <c r="B53" s="18"/>
      <c r="C53" s="12"/>
      <c r="D53" s="12"/>
      <c r="E53" s="25"/>
      <c r="F53" s="12"/>
      <c r="G53" s="20" t="s">
        <v>110</v>
      </c>
      <c r="H53" s="3" t="str">
        <f>IF($H$45=1,"-",IF($H$45=2,G56,"-"))</f>
        <v>Varaždinska županija</v>
      </c>
    </row>
    <row r="54" spans="1:9" ht="6" customHeight="1" x14ac:dyDescent="0.2">
      <c r="A54" s="15"/>
      <c r="B54" s="12"/>
      <c r="C54" s="12"/>
      <c r="D54" s="12"/>
      <c r="E54" s="12"/>
      <c r="F54" s="12"/>
      <c r="G54" s="20" t="s">
        <v>111</v>
      </c>
      <c r="H54" s="3" t="str">
        <f>IF($H$45=1,"-",IF($H$45=2,G57,"-"))</f>
        <v>Vukovarsko-srijemska županija</v>
      </c>
    </row>
    <row r="55" spans="1:9" ht="12.75" customHeight="1" x14ac:dyDescent="0.2">
      <c r="A55" s="567" t="s">
        <v>61</v>
      </c>
      <c r="B55" s="677"/>
      <c r="C55" s="65" t="s">
        <v>103</v>
      </c>
      <c r="D55" s="31"/>
      <c r="E55" s="31"/>
      <c r="F55" s="31"/>
      <c r="G55" s="20" t="s">
        <v>113</v>
      </c>
      <c r="H55" s="219" t="str">
        <f>IF(OR(LEN(C57)=LEN(H46),LEN(C57)=LEN(H47),LEN(C57)=LEN(H48),LEN(C57)=LEN(H49),LEN(C57)=LEN(H50),LEN(C57)=LEN(H51),LEN(C57)=LEN(H52),LEN(C57)=LEN(H53),LEN(C57)=LEN(H54)),C57,0)</f>
        <v>Varaždinska županija</v>
      </c>
      <c r="I55" s="2" t="str">
        <f>IF(C55="",FALSE,A55)</f>
        <v>Country</v>
      </c>
    </row>
    <row r="56" spans="1:9" ht="6" customHeight="1" x14ac:dyDescent="0.2">
      <c r="A56" s="15"/>
      <c r="B56" s="12"/>
      <c r="C56" s="12"/>
      <c r="D56" s="12"/>
      <c r="E56" s="12"/>
      <c r="F56" s="12"/>
      <c r="G56" s="20" t="s">
        <v>114</v>
      </c>
      <c r="H56" s="3" t="s">
        <v>115</v>
      </c>
    </row>
    <row r="57" spans="1:9" ht="12.75" customHeight="1" x14ac:dyDescent="0.2">
      <c r="A57" s="567" t="s">
        <v>112</v>
      </c>
      <c r="B57" s="677"/>
      <c r="C57" s="697" t="s">
        <v>114</v>
      </c>
      <c r="D57" s="672"/>
      <c r="F57" s="31"/>
      <c r="G57" s="20" t="s">
        <v>116</v>
      </c>
      <c r="H57" s="3" t="s">
        <v>117</v>
      </c>
      <c r="I57" s="220" t="str">
        <f>IF(C57="",FALSE,IF(C57="-",FALSE,IF(H55&lt;&gt;C57,FALSE,A57)))</f>
        <v>NUTSIII or equivalent</v>
      </c>
    </row>
    <row r="58" spans="1:9" ht="6" customHeight="1" x14ac:dyDescent="0.2">
      <c r="A58" s="18"/>
      <c r="B58" s="18"/>
      <c r="C58" s="12"/>
      <c r="D58" s="12"/>
      <c r="E58" s="25"/>
      <c r="F58" s="12"/>
      <c r="G58" s="11" t="e">
        <f>MID(#REF!,1,1)</f>
        <v>#REF!</v>
      </c>
    </row>
    <row r="59" spans="1:9" ht="15" customHeight="1" x14ac:dyDescent="0.2">
      <c r="A59" s="18"/>
      <c r="B59" s="18"/>
      <c r="C59" s="12"/>
      <c r="D59" s="12"/>
      <c r="E59" s="25"/>
      <c r="F59" s="12"/>
      <c r="G59" s="11" t="s">
        <v>130</v>
      </c>
    </row>
    <row r="60" spans="1:9" ht="10.5" customHeight="1" x14ac:dyDescent="0.2">
      <c r="A60" s="15"/>
      <c r="B60" s="12"/>
      <c r="C60" s="21"/>
      <c r="D60" s="12"/>
      <c r="E60" s="21"/>
      <c r="F60" s="12"/>
      <c r="G60" s="7" t="s">
        <v>102</v>
      </c>
      <c r="H60" s="3">
        <f>IF($C$70="Hungary",1,IF($C$70="Croatia",2,0))</f>
        <v>0</v>
      </c>
    </row>
    <row r="61" spans="1:9" ht="19.5" customHeight="1" x14ac:dyDescent="0.2">
      <c r="A61" s="674" t="s">
        <v>74</v>
      </c>
      <c r="B61" s="675"/>
      <c r="C61" s="676"/>
      <c r="D61" s="676"/>
      <c r="E61" s="21"/>
      <c r="F61" s="12"/>
      <c r="G61" s="7" t="s">
        <v>103</v>
      </c>
    </row>
    <row r="62" spans="1:9" ht="6" customHeight="1" x14ac:dyDescent="0.2">
      <c r="A62" s="15"/>
      <c r="B62" s="12"/>
      <c r="C62" s="21"/>
      <c r="D62" s="12"/>
      <c r="E62" s="21"/>
      <c r="F62" s="12"/>
      <c r="G62" s="3" t="s">
        <v>104</v>
      </c>
      <c r="H62" s="3" t="str">
        <f>IF($H$60=1,G62,IF($H$60=2,G65,"-"))</f>
        <v>-</v>
      </c>
    </row>
    <row r="63" spans="1:9" ht="25.5" customHeight="1" x14ac:dyDescent="0.2">
      <c r="A63" s="567" t="s">
        <v>118</v>
      </c>
      <c r="B63" s="567"/>
      <c r="C63" s="679" t="s">
        <v>691</v>
      </c>
      <c r="D63" s="680"/>
      <c r="E63" s="681"/>
      <c r="F63" s="12" t="s">
        <v>119</v>
      </c>
      <c r="G63" s="3" t="s">
        <v>105</v>
      </c>
      <c r="H63" s="3" t="str">
        <f>IF($H$60=1,G63,IF($H$60=2,G66,"-"))</f>
        <v>-</v>
      </c>
      <c r="I63" s="2">
        <f>IF(AND(C63&lt;&gt;"",C65&lt;&gt;"",E65&lt;&gt;"")=TRUE,A63,0)</f>
        <v>0</v>
      </c>
    </row>
    <row r="64" spans="1:9" ht="6" customHeight="1" x14ac:dyDescent="0.2">
      <c r="A64" s="567"/>
      <c r="B64" s="567"/>
      <c r="C64" s="12"/>
      <c r="D64" s="22"/>
      <c r="E64" s="22"/>
      <c r="F64" s="12"/>
      <c r="G64" s="3" t="s">
        <v>106</v>
      </c>
      <c r="H64" s="3" t="str">
        <f>IF($H$60=1,G64,IF($H$60=2,G67,"-"))</f>
        <v>-</v>
      </c>
    </row>
    <row r="65" spans="1:9" ht="25.5" x14ac:dyDescent="0.2">
      <c r="A65" s="567"/>
      <c r="B65" s="567"/>
      <c r="C65" s="23"/>
      <c r="D65" s="12" t="s">
        <v>46</v>
      </c>
      <c r="E65" s="24"/>
      <c r="F65" s="12" t="s">
        <v>45</v>
      </c>
      <c r="G65" s="20" t="s">
        <v>107</v>
      </c>
      <c r="H65" s="3" t="str">
        <f>IF($H$60=1,"-",IF($H$60=2,G68,"-"))</f>
        <v>-</v>
      </c>
    </row>
    <row r="66" spans="1:9" ht="6" customHeight="1" x14ac:dyDescent="0.2">
      <c r="A66" s="15"/>
      <c r="B66" s="15"/>
      <c r="C66" s="31"/>
      <c r="D66" s="12"/>
      <c r="E66" s="32"/>
      <c r="F66" s="12"/>
      <c r="G66" s="20" t="s">
        <v>108</v>
      </c>
      <c r="H66" s="3" t="str">
        <f>IF($H$60=1,"-",IF($H$60=2,G69,"-"))</f>
        <v>-</v>
      </c>
    </row>
    <row r="67" spans="1:9" ht="12.75" customHeight="1" x14ac:dyDescent="0.2">
      <c r="A67" s="15"/>
      <c r="B67" s="15"/>
      <c r="C67" s="23"/>
      <c r="D67" s="12" t="s">
        <v>129</v>
      </c>
      <c r="E67" s="32"/>
      <c r="F67" s="12"/>
      <c r="G67" s="20" t="s">
        <v>109</v>
      </c>
      <c r="H67" s="3" t="str">
        <f>IF($H$60=1,"-",IF($H$60=2,G70,"-"))</f>
        <v>-</v>
      </c>
    </row>
    <row r="68" spans="1:9" ht="6" customHeight="1" x14ac:dyDescent="0.2">
      <c r="A68" s="18"/>
      <c r="B68" s="18"/>
      <c r="C68" s="12"/>
      <c r="D68" s="12"/>
      <c r="E68" s="25"/>
      <c r="F68" s="12"/>
      <c r="G68" s="20" t="s">
        <v>110</v>
      </c>
      <c r="H68" s="3" t="str">
        <f>IF($H$60=1,"-",IF($H$60=2,G71,"-"))</f>
        <v>-</v>
      </c>
    </row>
    <row r="69" spans="1:9" ht="6" customHeight="1" x14ac:dyDescent="0.2">
      <c r="A69" s="15"/>
      <c r="B69" s="12"/>
      <c r="C69" s="12"/>
      <c r="D69" s="12"/>
      <c r="E69" s="12"/>
      <c r="F69" s="12"/>
      <c r="G69" s="20" t="s">
        <v>111</v>
      </c>
      <c r="H69" s="3" t="str">
        <f>IF($H$60=1,"-",IF($H$60=2,G72,"-"))</f>
        <v>-</v>
      </c>
    </row>
    <row r="70" spans="1:9" ht="12.75" customHeight="1" x14ac:dyDescent="0.2">
      <c r="A70" s="567" t="s">
        <v>61</v>
      </c>
      <c r="B70" s="677"/>
      <c r="C70" s="65"/>
      <c r="D70" s="31"/>
      <c r="E70" s="31"/>
      <c r="F70" s="31"/>
      <c r="G70" s="20" t="s">
        <v>113</v>
      </c>
      <c r="H70" s="219">
        <f>IF(OR(LEN(C72)=LEN(H61),LEN(C72)=LEN(H62),LEN(C72)=LEN(H63),LEN(C72)=LEN(H64),LEN(C72)=LEN(H65),LEN(C72)=LEN(H66),LEN(C72)=LEN(H67),LEN(C72)=LEN(H68),LEN(C72)=LEN(H69)),C72,0)</f>
        <v>0</v>
      </c>
      <c r="I70" s="2" t="b">
        <f>IF(C70="",FALSE,A70)</f>
        <v>0</v>
      </c>
    </row>
    <row r="71" spans="1:9" ht="6" customHeight="1" x14ac:dyDescent="0.2">
      <c r="A71" s="15"/>
      <c r="B71" s="12"/>
      <c r="C71" s="12"/>
      <c r="D71" s="12"/>
      <c r="E71" s="12"/>
      <c r="F71" s="12"/>
      <c r="G71" s="20" t="s">
        <v>114</v>
      </c>
      <c r="H71" s="3" t="s">
        <v>115</v>
      </c>
    </row>
    <row r="72" spans="1:9" ht="12.75" customHeight="1" x14ac:dyDescent="0.2">
      <c r="A72" s="567" t="s">
        <v>112</v>
      </c>
      <c r="B72" s="677"/>
      <c r="C72" s="568"/>
      <c r="D72" s="672"/>
      <c r="F72" s="31"/>
      <c r="G72" s="20" t="s">
        <v>116</v>
      </c>
      <c r="H72" s="3" t="s">
        <v>117</v>
      </c>
      <c r="I72" s="220" t="b">
        <f>IF(C72="",FALSE,IF(H70&lt;&gt;C72,FALSE,A72))</f>
        <v>0</v>
      </c>
    </row>
    <row r="73" spans="1:9" ht="6" customHeight="1" x14ac:dyDescent="0.2">
      <c r="A73" s="18"/>
      <c r="B73" s="18"/>
      <c r="C73" s="12"/>
      <c r="D73" s="12"/>
      <c r="E73" s="25"/>
      <c r="F73" s="12"/>
      <c r="G73" s="11" t="e">
        <f>MID(#REF!,1,1)</f>
        <v>#REF!</v>
      </c>
    </row>
    <row r="74" spans="1:9" ht="6" customHeight="1" x14ac:dyDescent="0.2">
      <c r="A74" s="18"/>
      <c r="B74" s="18"/>
      <c r="C74" s="12"/>
      <c r="D74" s="12"/>
      <c r="E74" s="25"/>
      <c r="F74" s="12"/>
      <c r="G74" s="11"/>
    </row>
    <row r="75" spans="1:9" ht="19.5" customHeight="1" x14ac:dyDescent="0.2">
      <c r="A75" s="674" t="s">
        <v>83</v>
      </c>
      <c r="B75" s="675"/>
      <c r="C75" s="676"/>
      <c r="D75" s="676"/>
      <c r="E75" s="21"/>
      <c r="F75" s="12"/>
      <c r="G75" s="7"/>
    </row>
    <row r="76" spans="1:9" ht="9" customHeight="1" x14ac:dyDescent="0.2">
      <c r="A76" s="18"/>
      <c r="B76" s="18"/>
      <c r="C76" s="12"/>
      <c r="D76" s="12"/>
      <c r="E76" s="25"/>
      <c r="F76" s="12"/>
      <c r="G76" s="3" t="str">
        <f>IF(G78=FALSE,C41,FALSE)</f>
        <v>Varaždinska županija</v>
      </c>
    </row>
    <row r="77" spans="1:9" x14ac:dyDescent="0.2">
      <c r="A77" s="567" t="s">
        <v>120</v>
      </c>
      <c r="B77" s="567"/>
      <c r="C77" s="66" t="s">
        <v>115</v>
      </c>
      <c r="D77" s="25" t="s">
        <v>121</v>
      </c>
      <c r="E77" s="508" t="s">
        <v>671</v>
      </c>
      <c r="F77" s="25" t="s">
        <v>122</v>
      </c>
      <c r="G77" s="3">
        <f>MATCH(C41,H31:H38,0)</f>
        <v>7</v>
      </c>
      <c r="I77" s="2" t="str">
        <f>IF(AND(C77&lt;&gt;"",C79&lt;&gt;"",E77&lt;&gt;"",E79&lt;&gt;"")=TRUE,A77,0)</f>
        <v xml:space="preserve">Contact  person </v>
      </c>
    </row>
    <row r="78" spans="1:9" ht="6" customHeight="1" x14ac:dyDescent="0.2">
      <c r="A78" s="567"/>
      <c r="B78" s="567"/>
      <c r="C78" s="25"/>
      <c r="D78" s="25"/>
      <c r="E78" s="25"/>
      <c r="F78" s="25"/>
      <c r="G78" s="3" t="b">
        <f>ISERR(G77)</f>
        <v>0</v>
      </c>
    </row>
    <row r="79" spans="1:9" x14ac:dyDescent="0.2">
      <c r="A79" s="567"/>
      <c r="B79" s="567"/>
      <c r="C79" s="508" t="s">
        <v>692</v>
      </c>
      <c r="D79" s="25" t="s">
        <v>48</v>
      </c>
      <c r="E79" s="508" t="s">
        <v>693</v>
      </c>
      <c r="F79" s="25" t="s">
        <v>123</v>
      </c>
      <c r="I79" s="2"/>
    </row>
    <row r="80" spans="1:9" ht="6" customHeight="1" x14ac:dyDescent="0.2">
      <c r="A80" s="26"/>
      <c r="B80" s="26"/>
      <c r="C80" s="25"/>
      <c r="D80" s="25"/>
      <c r="E80" s="25"/>
      <c r="F80" s="25"/>
    </row>
    <row r="81" spans="1:9" ht="12.75" customHeight="1" x14ac:dyDescent="0.2">
      <c r="A81" s="567" t="s">
        <v>403</v>
      </c>
      <c r="B81" s="571"/>
      <c r="C81" s="509" t="s">
        <v>694</v>
      </c>
      <c r="D81" s="12" t="s">
        <v>62</v>
      </c>
      <c r="E81" s="510" t="s">
        <v>695</v>
      </c>
      <c r="F81" s="25" t="s">
        <v>404</v>
      </c>
      <c r="I81" s="2" t="str">
        <f>IF(C81="",FALSE,A81)</f>
        <v>Telephone/ Mobile number</v>
      </c>
    </row>
    <row r="82" spans="1:9" ht="6" customHeight="1" x14ac:dyDescent="0.2">
      <c r="A82" s="15"/>
      <c r="B82" s="12"/>
      <c r="C82" s="12"/>
      <c r="D82" s="12"/>
      <c r="E82" s="25"/>
      <c r="F82" s="25"/>
    </row>
    <row r="83" spans="1:9" x14ac:dyDescent="0.2">
      <c r="A83" s="567" t="s">
        <v>49</v>
      </c>
      <c r="B83" s="571"/>
      <c r="C83" s="673" t="s">
        <v>696</v>
      </c>
      <c r="D83" s="573"/>
      <c r="E83" s="573"/>
      <c r="F83" s="574"/>
      <c r="G83" s="7"/>
      <c r="I83" s="2" t="str">
        <f>IF(AND(NOT(ISERROR(SEARCH("@",C83)&gt;0)),C83&lt;&gt;""),A83,FALSE)</f>
        <v>E-mail</v>
      </c>
    </row>
    <row r="84" spans="1:9" ht="15" x14ac:dyDescent="0.2">
      <c r="A84" s="14"/>
      <c r="G84" s="7"/>
    </row>
    <row r="85" spans="1:9" ht="19.5" customHeight="1" x14ac:dyDescent="0.2">
      <c r="A85" s="674" t="s">
        <v>68</v>
      </c>
      <c r="B85" s="675"/>
      <c r="C85" s="676"/>
      <c r="D85" s="676"/>
      <c r="E85" s="21"/>
      <c r="F85" s="12"/>
      <c r="G85" s="7"/>
    </row>
    <row r="86" spans="1:9" ht="9" customHeight="1" x14ac:dyDescent="0.2">
      <c r="A86" s="18"/>
      <c r="B86" s="18"/>
      <c r="C86" s="12"/>
      <c r="D86" s="12"/>
      <c r="E86" s="25"/>
      <c r="F86" s="12"/>
    </row>
    <row r="87" spans="1:9" x14ac:dyDescent="0.2">
      <c r="A87" s="567" t="s">
        <v>120</v>
      </c>
      <c r="B87" s="567"/>
      <c r="C87" s="66" t="s">
        <v>117</v>
      </c>
      <c r="D87" s="25" t="s">
        <v>121</v>
      </c>
      <c r="E87" s="534" t="s">
        <v>1086</v>
      </c>
      <c r="F87" s="25" t="s">
        <v>122</v>
      </c>
      <c r="I87" s="2" t="str">
        <f>IF(AND(C87&lt;&gt;"",C89&lt;&gt;"",E87&lt;&gt;"",E89&lt;&gt;"")=TRUE,A87,0)</f>
        <v xml:space="preserve">Contact  person </v>
      </c>
    </row>
    <row r="88" spans="1:9" ht="6" customHeight="1" x14ac:dyDescent="0.2">
      <c r="A88" s="567"/>
      <c r="B88" s="567"/>
      <c r="C88" s="25"/>
      <c r="D88" s="25"/>
      <c r="E88" s="25"/>
      <c r="F88" s="25"/>
    </row>
    <row r="89" spans="1:9" x14ac:dyDescent="0.2">
      <c r="A89" s="567"/>
      <c r="B89" s="567"/>
      <c r="C89" s="534" t="s">
        <v>1084</v>
      </c>
      <c r="D89" s="25" t="s">
        <v>48</v>
      </c>
      <c r="E89" s="534" t="s">
        <v>1083</v>
      </c>
      <c r="F89" s="25" t="s">
        <v>123</v>
      </c>
      <c r="I89" s="2"/>
    </row>
    <row r="90" spans="1:9" ht="6" customHeight="1" x14ac:dyDescent="0.2">
      <c r="A90" s="26"/>
      <c r="B90" s="26"/>
      <c r="C90" s="25"/>
      <c r="D90" s="25"/>
      <c r="E90" s="25"/>
      <c r="F90" s="25"/>
    </row>
    <row r="91" spans="1:9" ht="12.75" customHeight="1" x14ac:dyDescent="0.2">
      <c r="A91" s="567" t="s">
        <v>403</v>
      </c>
      <c r="B91" s="571"/>
      <c r="C91" s="535" t="s">
        <v>1082</v>
      </c>
      <c r="D91" s="12" t="s">
        <v>62</v>
      </c>
      <c r="E91" s="215"/>
      <c r="F91" s="25" t="s">
        <v>404</v>
      </c>
      <c r="I91" s="2" t="str">
        <f>IF(C91="",FALSE,A91)</f>
        <v>Telephone/ Mobile number</v>
      </c>
    </row>
    <row r="92" spans="1:9" ht="6" customHeight="1" x14ac:dyDescent="0.2">
      <c r="A92" s="15"/>
      <c r="B92" s="12"/>
      <c r="C92" s="12"/>
      <c r="D92" s="12"/>
      <c r="E92" s="25"/>
      <c r="F92" s="25"/>
    </row>
    <row r="93" spans="1:9" x14ac:dyDescent="0.2">
      <c r="A93" s="567" t="s">
        <v>49</v>
      </c>
      <c r="B93" s="571"/>
      <c r="C93" s="673" t="s">
        <v>1085</v>
      </c>
      <c r="D93" s="573"/>
      <c r="E93" s="573"/>
      <c r="F93" s="574"/>
      <c r="G93" s="7"/>
      <c r="I93" s="2" t="str">
        <f>IF(AND(NOT(ISERROR(SEARCH("@",C93)&gt;0)),C93&lt;&gt;""),A93,FALSE)</f>
        <v>E-mail</v>
      </c>
    </row>
    <row r="94" spans="1:9" ht="15" x14ac:dyDescent="0.2">
      <c r="A94" s="14"/>
      <c r="G94" s="7"/>
    </row>
    <row r="95" spans="1:9" ht="15" x14ac:dyDescent="0.2">
      <c r="A95" s="14"/>
    </row>
    <row r="96" spans="1:9" x14ac:dyDescent="0.2">
      <c r="A96" s="674" t="s">
        <v>70</v>
      </c>
      <c r="B96" s="675"/>
      <c r="C96" s="676"/>
      <c r="D96" s="676"/>
      <c r="G96" s="7">
        <v>2014</v>
      </c>
    </row>
    <row r="97" spans="1:10" ht="15" x14ac:dyDescent="0.2">
      <c r="A97" s="14"/>
      <c r="G97" s="7">
        <v>2015</v>
      </c>
    </row>
    <row r="98" spans="1:10" ht="12.75" customHeight="1" x14ac:dyDescent="0.2">
      <c r="A98" s="567" t="s">
        <v>40</v>
      </c>
      <c r="B98" s="667"/>
      <c r="C98" s="668"/>
      <c r="E98" s="65">
        <v>2015</v>
      </c>
      <c r="F98" s="7" t="s">
        <v>125</v>
      </c>
      <c r="G98" s="7">
        <v>2016</v>
      </c>
      <c r="I98" s="2" t="str">
        <f>IF(E98="",FALSE,A98)</f>
        <v>Relevant year (last closed budgetary year)</v>
      </c>
    </row>
    <row r="99" spans="1:10" ht="6" customHeight="1" x14ac:dyDescent="0.2"/>
    <row r="100" spans="1:10" ht="12.75" customHeight="1" x14ac:dyDescent="0.2">
      <c r="A100" s="15" t="s">
        <v>71</v>
      </c>
      <c r="B100" s="28"/>
      <c r="C100" s="216">
        <v>22</v>
      </c>
      <c r="D100" s="7" t="s">
        <v>132</v>
      </c>
      <c r="E100" s="40" t="s">
        <v>135</v>
      </c>
      <c r="F100" s="65" t="s">
        <v>134</v>
      </c>
      <c r="G100" s="7" t="s">
        <v>59</v>
      </c>
      <c r="H100" s="3" t="b">
        <f>ISBLANK(F100)</f>
        <v>0</v>
      </c>
      <c r="I100" s="2" t="str">
        <f>IF(C100="",FALSE,A100)</f>
        <v>Number of staff</v>
      </c>
      <c r="J100" s="2" t="str">
        <f>IF(F100="",FALSE,E100)</f>
        <v>Data in currency:</v>
      </c>
    </row>
    <row r="101" spans="1:10" ht="6" customHeight="1" x14ac:dyDescent="0.25">
      <c r="A101" s="27"/>
      <c r="G101" s="7" t="s">
        <v>133</v>
      </c>
    </row>
    <row r="102" spans="1:10" ht="12.75" customHeight="1" x14ac:dyDescent="0.2">
      <c r="A102" s="567" t="s">
        <v>72</v>
      </c>
      <c r="B102" s="667"/>
      <c r="C102" s="668"/>
      <c r="E102" s="217">
        <v>23933067</v>
      </c>
      <c r="F102" s="38" t="str">
        <f>IF(H$100=FALSE,F$100,"")</f>
        <v>HRK</v>
      </c>
      <c r="G102" s="7" t="s">
        <v>134</v>
      </c>
      <c r="I102" s="2" t="str">
        <f>IF(E102="",FALSE,A102)</f>
        <v>Last closed budgetary year annual revenue</v>
      </c>
    </row>
    <row r="103" spans="1:10" ht="6" customHeight="1" x14ac:dyDescent="0.2">
      <c r="A103" s="15"/>
      <c r="B103" s="15"/>
      <c r="C103" s="36"/>
      <c r="E103" s="37"/>
      <c r="F103" s="38"/>
      <c r="G103" s="7" t="s">
        <v>130</v>
      </c>
      <c r="I103" s="2"/>
    </row>
    <row r="104" spans="1:10" ht="12.75" customHeight="1" x14ac:dyDescent="0.2">
      <c r="A104" s="567" t="s">
        <v>29</v>
      </c>
      <c r="B104" s="667"/>
      <c r="C104" s="668"/>
      <c r="E104" s="217">
        <v>271860660</v>
      </c>
      <c r="F104" s="38" t="str">
        <f>IF(H$100=FALSE,F$100,"")</f>
        <v>HRK</v>
      </c>
      <c r="G104" s="7"/>
      <c r="I104" s="2" t="str">
        <f>IF(E104="",FALSE,A104)</f>
        <v xml:space="preserve">Last closed budgetary year balance sheet total </v>
      </c>
    </row>
    <row r="105" spans="1:10" ht="6" customHeight="1" x14ac:dyDescent="0.2">
      <c r="F105" s="38"/>
    </row>
    <row r="106" spans="1:10" ht="12.75" customHeight="1" x14ac:dyDescent="0.2">
      <c r="A106" s="567" t="s">
        <v>73</v>
      </c>
      <c r="B106" s="667"/>
      <c r="C106" s="668"/>
      <c r="E106" s="217">
        <v>-4947337</v>
      </c>
      <c r="F106" s="38" t="str">
        <f>IF(H$100=FALSE,F$100,"")</f>
        <v>HRK</v>
      </c>
      <c r="G106" s="7"/>
      <c r="I106" s="2" t="str">
        <f>IF(E106="",FALSE,A106)</f>
        <v>Last closed budgetary year result</v>
      </c>
    </row>
    <row r="107" spans="1:10" ht="6" customHeight="1" x14ac:dyDescent="0.2"/>
    <row r="108" spans="1:10" x14ac:dyDescent="0.2">
      <c r="A108" s="567" t="s">
        <v>164</v>
      </c>
      <c r="B108" s="667"/>
      <c r="C108" s="668"/>
      <c r="D108" s="668"/>
      <c r="E108" s="668"/>
      <c r="F108" s="210">
        <v>0</v>
      </c>
      <c r="I108" s="2" t="str">
        <f>IF(F108="",FALSE,A108)</f>
        <v>Awarded de minimis grant in the current and the previous two financial years (EUR):</v>
      </c>
    </row>
  </sheetData>
  <sheetProtection password="F58B" sheet="1" objects="1" scenarios="1" formatCells="0" selectLockedCells="1"/>
  <mergeCells count="63">
    <mergeCell ref="A9:B9"/>
    <mergeCell ref="C9:F9"/>
    <mergeCell ref="J1:K1"/>
    <mergeCell ref="A2:F2"/>
    <mergeCell ref="A5:B5"/>
    <mergeCell ref="C5:F5"/>
    <mergeCell ref="A7:B7"/>
    <mergeCell ref="C7:F7"/>
    <mergeCell ref="A17:B17"/>
    <mergeCell ref="A19:B19"/>
    <mergeCell ref="C19:F19"/>
    <mergeCell ref="A11:B11"/>
    <mergeCell ref="A13:B13"/>
    <mergeCell ref="C13:D13"/>
    <mergeCell ref="A15:B15"/>
    <mergeCell ref="C15:D15"/>
    <mergeCell ref="E11:F14"/>
    <mergeCell ref="D17:E17"/>
    <mergeCell ref="A21:B21"/>
    <mergeCell ref="C21:F21"/>
    <mergeCell ref="A30:D30"/>
    <mergeCell ref="A32:B34"/>
    <mergeCell ref="C32:E32"/>
    <mergeCell ref="A23:B23"/>
    <mergeCell ref="C23:D23"/>
    <mergeCell ref="A25:B25"/>
    <mergeCell ref="C25:D25"/>
    <mergeCell ref="A27:B27"/>
    <mergeCell ref="C27:D27"/>
    <mergeCell ref="E23:F23"/>
    <mergeCell ref="A39:B39"/>
    <mergeCell ref="A41:B41"/>
    <mergeCell ref="C41:D41"/>
    <mergeCell ref="A55:B55"/>
    <mergeCell ref="A57:B57"/>
    <mergeCell ref="C57:D57"/>
    <mergeCell ref="A83:B83"/>
    <mergeCell ref="C83:F83"/>
    <mergeCell ref="A85:D85"/>
    <mergeCell ref="A96:D96"/>
    <mergeCell ref="A93:B93"/>
    <mergeCell ref="C93:F93"/>
    <mergeCell ref="A75:D75"/>
    <mergeCell ref="A77:B79"/>
    <mergeCell ref="A70:B70"/>
    <mergeCell ref="A72:B72"/>
    <mergeCell ref="C72:D72"/>
    <mergeCell ref="A63:B65"/>
    <mergeCell ref="C63:E63"/>
    <mergeCell ref="A106:C106"/>
    <mergeCell ref="A108:E108"/>
    <mergeCell ref="A43:B43"/>
    <mergeCell ref="C43:F43"/>
    <mergeCell ref="A46:D46"/>
    <mergeCell ref="A48:B50"/>
    <mergeCell ref="C48:E48"/>
    <mergeCell ref="A91:B91"/>
    <mergeCell ref="A87:B89"/>
    <mergeCell ref="A102:C102"/>
    <mergeCell ref="A104:C104"/>
    <mergeCell ref="A98:C98"/>
    <mergeCell ref="A61:D61"/>
    <mergeCell ref="A81:B81"/>
  </mergeCells>
  <phoneticPr fontId="3" type="noConversion"/>
  <conditionalFormatting sqref="A32:B36">
    <cfRule type="cellIs" dxfId="522" priority="39" stopIfTrue="1" operator="notEqual">
      <formula>$I$32</formula>
    </cfRule>
  </conditionalFormatting>
  <conditionalFormatting sqref="A77:B79 A87:B89">
    <cfRule type="cellIs" dxfId="521" priority="38" stopIfTrue="1" operator="notEqual">
      <formula>$I$77</formula>
    </cfRule>
  </conditionalFormatting>
  <conditionalFormatting sqref="A83:B83">
    <cfRule type="cellIs" dxfId="520" priority="37" stopIfTrue="1" operator="notEqual">
      <formula>$I$83</formula>
    </cfRule>
  </conditionalFormatting>
  <conditionalFormatting sqref="A15:B15">
    <cfRule type="cellIs" dxfId="519" priority="36" stopIfTrue="1" operator="notEqual">
      <formula>$I$15</formula>
    </cfRule>
  </conditionalFormatting>
  <conditionalFormatting sqref="A17:B17">
    <cfRule type="cellIs" dxfId="518" priority="35" stopIfTrue="1" operator="notEqual">
      <formula>$I$17</formula>
    </cfRule>
  </conditionalFormatting>
  <conditionalFormatting sqref="A23:B23">
    <cfRule type="cellIs" dxfId="517" priority="34" stopIfTrue="1" operator="notEqual">
      <formula>$I$23</formula>
    </cfRule>
  </conditionalFormatting>
  <conditionalFormatting sqref="A25:B25">
    <cfRule type="cellIs" dxfId="516" priority="33" stopIfTrue="1" operator="notEqual">
      <formula>$I$25</formula>
    </cfRule>
  </conditionalFormatting>
  <conditionalFormatting sqref="A27:B28">
    <cfRule type="cellIs" dxfId="515" priority="32" stopIfTrue="1" operator="notEqual">
      <formula>$I$27</formula>
    </cfRule>
  </conditionalFormatting>
  <conditionalFormatting sqref="A43:B45 A56:B56 A47:B47 A53:B54 A58:B60 A73:B74 A71:B71 A62:B62 A68:B69">
    <cfRule type="cellIs" dxfId="514" priority="31" stopIfTrue="1" operator="notEqual">
      <formula>$I$43</formula>
    </cfRule>
  </conditionalFormatting>
  <conditionalFormatting sqref="A48:B50">
    <cfRule type="cellIs" dxfId="513" priority="30" stopIfTrue="1" operator="notEqual">
      <formula>$I$48</formula>
    </cfRule>
  </conditionalFormatting>
  <conditionalFormatting sqref="A55:B55">
    <cfRule type="cellIs" dxfId="512" priority="29" stopIfTrue="1" operator="notEqual">
      <formula>$I$55</formula>
    </cfRule>
  </conditionalFormatting>
  <conditionalFormatting sqref="A57:B57">
    <cfRule type="cellIs" dxfId="511" priority="28" stopIfTrue="1" operator="notEqual">
      <formula>$I$57</formula>
    </cfRule>
  </conditionalFormatting>
  <conditionalFormatting sqref="A63:B65">
    <cfRule type="cellIs" dxfId="510" priority="27" stopIfTrue="1" operator="notEqual">
      <formula>$I$63</formula>
    </cfRule>
  </conditionalFormatting>
  <conditionalFormatting sqref="A70:B70">
    <cfRule type="cellIs" dxfId="509" priority="26" stopIfTrue="1" operator="notEqual">
      <formula>$I$70</formula>
    </cfRule>
  </conditionalFormatting>
  <conditionalFormatting sqref="A72:B72">
    <cfRule type="cellIs" dxfId="508" priority="25" stopIfTrue="1" operator="notEqual">
      <formula>$I$72</formula>
    </cfRule>
  </conditionalFormatting>
  <conditionalFormatting sqref="A98:C98">
    <cfRule type="cellIs" dxfId="507" priority="24" stopIfTrue="1" operator="notEqual">
      <formula>$I$98</formula>
    </cfRule>
  </conditionalFormatting>
  <conditionalFormatting sqref="A100">
    <cfRule type="cellIs" dxfId="506" priority="23" stopIfTrue="1" operator="notEqual">
      <formula>$I$100</formula>
    </cfRule>
  </conditionalFormatting>
  <conditionalFormatting sqref="E100">
    <cfRule type="cellIs" dxfId="505" priority="22" stopIfTrue="1" operator="notEqual">
      <formula>$J$100</formula>
    </cfRule>
  </conditionalFormatting>
  <conditionalFormatting sqref="A102:C102">
    <cfRule type="cellIs" dxfId="504" priority="21" stopIfTrue="1" operator="notEqual">
      <formula>$I$102</formula>
    </cfRule>
  </conditionalFormatting>
  <conditionalFormatting sqref="A104:C104">
    <cfRule type="cellIs" dxfId="503" priority="20" stopIfTrue="1" operator="notEqual">
      <formula>$I$104</formula>
    </cfRule>
  </conditionalFormatting>
  <conditionalFormatting sqref="A106:C106">
    <cfRule type="cellIs" dxfId="502" priority="19" stopIfTrue="1" operator="notEqual">
      <formula>$I$106</formula>
    </cfRule>
  </conditionalFormatting>
  <conditionalFormatting sqref="A108:E108">
    <cfRule type="cellIs" dxfId="501" priority="18" stopIfTrue="1" operator="notEqual">
      <formula>$I$108</formula>
    </cfRule>
  </conditionalFormatting>
  <conditionalFormatting sqref="A93:B93">
    <cfRule type="cellIs" dxfId="500" priority="16" stopIfTrue="1" operator="notEqual">
      <formula>$I$93</formula>
    </cfRule>
  </conditionalFormatting>
  <conditionalFormatting sqref="E11:F14">
    <cfRule type="cellIs" dxfId="499" priority="15" stopIfTrue="1" operator="equal">
      <formula>$K$11</formula>
    </cfRule>
  </conditionalFormatting>
  <conditionalFormatting sqref="A81:B81">
    <cfRule type="cellIs" dxfId="498" priority="14" stopIfTrue="1" operator="notEqual">
      <formula>$I$81</formula>
    </cfRule>
  </conditionalFormatting>
  <conditionalFormatting sqref="A91:B91">
    <cfRule type="cellIs" dxfId="497" priority="13" stopIfTrue="1" operator="notEqual">
      <formula>$I$91</formula>
    </cfRule>
  </conditionalFormatting>
  <conditionalFormatting sqref="A5:B5">
    <cfRule type="cellIs" dxfId="496" priority="12" stopIfTrue="1" operator="notEqual">
      <formula>$I$5</formula>
    </cfRule>
  </conditionalFormatting>
  <conditionalFormatting sqref="A7:B7">
    <cfRule type="cellIs" dxfId="495" priority="11" stopIfTrue="1" operator="notEqual">
      <formula>$I$7</formula>
    </cfRule>
  </conditionalFormatting>
  <conditionalFormatting sqref="A9:B9">
    <cfRule type="cellIs" dxfId="494" priority="10" stopIfTrue="1" operator="notEqual">
      <formula>$I$9</formula>
    </cfRule>
  </conditionalFormatting>
  <conditionalFormatting sqref="A19:B19">
    <cfRule type="cellIs" dxfId="493" priority="9" stopIfTrue="1" operator="notEqual">
      <formula>$I$19</formula>
    </cfRule>
  </conditionalFormatting>
  <conditionalFormatting sqref="A21:B21">
    <cfRule type="cellIs" dxfId="492" priority="8" stopIfTrue="1" operator="notEqual">
      <formula>$I$21</formula>
    </cfRule>
  </conditionalFormatting>
  <conditionalFormatting sqref="A11:B11">
    <cfRule type="cellIs" dxfId="491" priority="7" stopIfTrue="1" operator="notEqual">
      <formula>$I$11</formula>
    </cfRule>
  </conditionalFormatting>
  <conditionalFormatting sqref="A13:B13">
    <cfRule type="cellIs" dxfId="490" priority="6" stopIfTrue="1" operator="notEqual">
      <formula>$I$13</formula>
    </cfRule>
  </conditionalFormatting>
  <conditionalFormatting sqref="A39:B39">
    <cfRule type="cellIs" dxfId="489" priority="5" stopIfTrue="1" operator="notEqual">
      <formula>$I$39</formula>
    </cfRule>
  </conditionalFormatting>
  <conditionalFormatting sqref="A41:B41">
    <cfRule type="cellIs" dxfId="488" priority="4" stopIfTrue="1" operator="notEqual">
      <formula>$I$41</formula>
    </cfRule>
  </conditionalFormatting>
  <conditionalFormatting sqref="C41:D41">
    <cfRule type="cellIs" dxfId="487" priority="3" stopIfTrue="1" operator="notEqual">
      <formula>$H$39</formula>
    </cfRule>
  </conditionalFormatting>
  <conditionalFormatting sqref="C57:D57">
    <cfRule type="cellIs" dxfId="486" priority="2" stopIfTrue="1" operator="notEqual">
      <formula>$H$55</formula>
    </cfRule>
  </conditionalFormatting>
  <conditionalFormatting sqref="C72:D72">
    <cfRule type="cellIs" dxfId="485" priority="1" stopIfTrue="1" operator="notEqual">
      <formula>$H$70</formula>
    </cfRule>
  </conditionalFormatting>
  <dataValidations count="32">
    <dataValidation type="whole" allowBlank="1" showInputMessage="1" showErrorMessage="1" sqref="C51 C35 C66">
      <formula1>1000</formula1>
      <formula2>9999</formula2>
    </dataValidation>
    <dataValidation type="textLength" allowBlank="1" showInputMessage="1" showErrorMessage="1" sqref="C54:F54 C10:F10 C38:F38 C69:F69">
      <formula1>3</formula1>
      <formula2>50</formula2>
    </dataValidation>
    <dataValidation type="textLength" allowBlank="1" showInputMessage="1" showErrorMessage="1" sqref="E80 E90">
      <formula1>1</formula1>
      <formula2>30</formula2>
    </dataValidation>
    <dataValidation type="textLength" allowBlank="1" showInputMessage="1" showErrorMessage="1" sqref="E78 C9:F9 E88 C80 C90">
      <formula1>1</formula1>
      <formula2>20</formula2>
    </dataValidation>
    <dataValidation type="textLength" allowBlank="1" showInputMessage="1" showErrorMessage="1" sqref="C49:E49 C33:E33 C64:E64">
      <formula1>4</formula1>
      <formula2>100</formula2>
    </dataValidation>
    <dataValidation type="whole" operator="equal" allowBlank="1" showInputMessage="1" showErrorMessage="1" sqref="C37 C85:C86 C73:C76 C53 C58:C59 C42 C68">
      <formula1>4</formula1>
    </dataValidation>
    <dataValidation type="textLength" allowBlank="1" showInputMessage="1" showErrorMessage="1" sqref="E34:E37 E59 E73:E76 E50:E53 E85:E86 E42 E65:E68">
      <formula1>2</formula1>
      <formula2>50</formula2>
    </dataValidation>
    <dataValidation type="textLength" allowBlank="1" showInputMessage="1" showErrorMessage="1" sqref="C32:E32 C48:E48 C63:E63">
      <formula1>1</formula1>
      <formula2>100</formula2>
    </dataValidation>
    <dataValidation type="list" allowBlank="1" showInputMessage="1" showErrorMessage="1" sqref="C55 C39">
      <formula1>$G$1:$G$2</formula1>
    </dataValidation>
    <dataValidation type="textLength" allowBlank="1" showInputMessage="1" showErrorMessage="1" sqref="C6:F6 C8:F8">
      <formula1>6</formula1>
      <formula2>150</formula2>
    </dataValidation>
    <dataValidation type="list" allowBlank="1" showInputMessage="1" showErrorMessage="1" sqref="C15">
      <formula1>$H$15:$H$16</formula1>
    </dataValidation>
    <dataValidation type="whole" allowBlank="1" showInputMessage="1" showErrorMessage="1" sqref="C18">
      <formula1>1000</formula1>
      <formula2>2009</formula2>
    </dataValidation>
    <dataValidation type="textLength" operator="lessThan" allowBlank="1" showInputMessage="1" showErrorMessage="1" sqref="C19:F19">
      <formula1>150</formula1>
    </dataValidation>
    <dataValidation type="textLength" operator="lessThan" allowBlank="1" showInputMessage="1" showErrorMessage="1" sqref="C28:D28">
      <formula1>25</formula1>
    </dataValidation>
    <dataValidation type="textLength" operator="lessThan" allowBlank="1" showInputMessage="1" showErrorMessage="1" sqref="C43:F44">
      <formula1>40</formula1>
    </dataValidation>
    <dataValidation type="whole" allowBlank="1" showInputMessage="1" showErrorMessage="1" sqref="C36 C52 C67">
      <formula1>0</formula1>
      <formula2>100000</formula2>
    </dataValidation>
    <dataValidation type="decimal" allowBlank="1" showInputMessage="1" showErrorMessage="1" sqref="F108">
      <formula1>0</formula1>
      <formula2>500000</formula2>
    </dataValidation>
    <dataValidation type="list" allowBlank="1" showInputMessage="1" showErrorMessage="1" sqref="C70">
      <formula1>$G$59:$G$61</formula1>
    </dataValidation>
    <dataValidation type="list" allowBlank="1" showInputMessage="1" showErrorMessage="1" sqref="C72:D72">
      <formula1>$H$62:$H$69</formula1>
    </dataValidation>
    <dataValidation type="list" allowBlank="1" showInputMessage="1" showErrorMessage="1" sqref="E98">
      <formula1>$G$96:$G$98</formula1>
    </dataValidation>
    <dataValidation type="list" allowBlank="1" showInputMessage="1" showErrorMessage="1" sqref="F100">
      <formula1>$G$100:$G$103</formula1>
    </dataValidation>
    <dataValidation type="textLength" operator="lessThanOrEqual" allowBlank="1" showInputMessage="1" showErrorMessage="1" sqref="C27:D27 C23:D23 C25:D25">
      <formula1>25</formula1>
    </dataValidation>
    <dataValidation type="whole" allowBlank="1" showInputMessage="1" showErrorMessage="1" sqref="C50 C34">
      <formula1>1000</formula1>
      <formula2>99999</formula2>
    </dataValidation>
    <dataValidation type="decimal" allowBlank="1" showInputMessage="1" showErrorMessage="1" sqref="C100">
      <formula1>0.1</formula1>
      <formula2>99999999</formula2>
    </dataValidation>
    <dataValidation type="list" allowBlank="1" showInputMessage="1" showErrorMessage="1" sqref="C41:D41">
      <formula1>$H$30:$H$38</formula1>
    </dataValidation>
    <dataValidation type="list" allowBlank="1" showInputMessage="1" showErrorMessage="1" sqref="C77 C87">
      <formula1>$H$12:$H$13</formula1>
    </dataValidation>
    <dataValidation type="textLength" allowBlank="1" showInputMessage="1" showErrorMessage="1" sqref="C5:F5 C7:F7">
      <formula1>1</formula1>
      <formula2>150</formula2>
    </dataValidation>
    <dataValidation type="list" allowBlank="1" showInputMessage="1" showErrorMessage="1" sqref="C21:F21">
      <formula1>$J$2:$J$11</formula1>
    </dataValidation>
    <dataValidation type="list" allowBlank="1" showInputMessage="1" showErrorMessage="1" sqref="C57:D57">
      <formula1>$H$46:$H$54</formula1>
    </dataValidation>
    <dataValidation type="whole" allowBlank="1" showInputMessage="1" showErrorMessage="1" sqref="C65">
      <formula1>0</formula1>
      <formula2>99999</formula2>
    </dataValidation>
    <dataValidation type="textLength" operator="lessThanOrEqual" allowBlank="1" showInputMessage="1" showErrorMessage="1" sqref="C17">
      <formula1>15</formula1>
    </dataValidation>
    <dataValidation type="textLength" operator="lessThanOrEqual" allowBlank="1" showInputMessage="1" showErrorMessage="1" sqref="E77 C79 E79 E87 E89 C89">
      <formula1>30</formula1>
    </dataValidation>
  </dataValidations>
  <pageMargins left="0.98425196850393704" right="0.39370078740157483" top="0.74803149606299213" bottom="0.74803149606299213" header="0.31496062992125984" footer="0.31496062992125984"/>
  <pageSetup orientation="landscape" horizontalDpi="300" verticalDpi="300"/>
  <headerFooter>
    <oddFooter xml:space="preserve">&amp;C&amp;"Arial,Italic"&amp;8&amp;A&amp;R&amp;"Arial,Italic"&amp;8Page &amp;P of &amp;N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topLeftCell="A72" workbookViewId="0">
      <selection activeCell="E98" sqref="E98"/>
    </sheetView>
  </sheetViews>
  <sheetFormatPr defaultColWidth="9.140625" defaultRowHeight="12.75" x14ac:dyDescent="0.2"/>
  <cols>
    <col min="1" max="2" width="14.85546875" style="3" customWidth="1"/>
    <col min="3" max="3" width="18.85546875" style="3" customWidth="1"/>
    <col min="4" max="4" width="10.7109375" style="3" customWidth="1"/>
    <col min="5" max="5" width="18.85546875" style="3" customWidth="1"/>
    <col min="6" max="6" width="12.140625" style="3" customWidth="1"/>
    <col min="7" max="7" width="24.140625" style="3" hidden="1" customWidth="1"/>
    <col min="8" max="8" width="18" style="3" hidden="1" customWidth="1"/>
    <col min="9" max="9" width="9.140625" style="3" hidden="1" customWidth="1"/>
    <col min="10" max="10" width="12.42578125" style="3" hidden="1" customWidth="1"/>
    <col min="11" max="14" width="9.140625" style="3" hidden="1" customWidth="1"/>
    <col min="15" max="16384" width="9.140625" style="3"/>
  </cols>
  <sheetData>
    <row r="1" spans="1:15" ht="6.75" hidden="1" customHeight="1" x14ac:dyDescent="0.2">
      <c r="G1" s="7" t="s">
        <v>102</v>
      </c>
      <c r="H1" s="3">
        <f>IF($C$11="Hungary",1,IF($C$11="Croatia",2,0))</f>
        <v>2</v>
      </c>
      <c r="J1" s="567" t="s">
        <v>44</v>
      </c>
      <c r="K1" s="677"/>
    </row>
    <row r="2" spans="1:15" ht="15.75" x14ac:dyDescent="0.25">
      <c r="A2" s="560" t="s">
        <v>349</v>
      </c>
      <c r="B2" s="561"/>
      <c r="C2" s="561"/>
      <c r="D2" s="561"/>
      <c r="E2" s="561"/>
      <c r="F2" s="561"/>
      <c r="G2" s="7" t="s">
        <v>103</v>
      </c>
      <c r="J2" t="s">
        <v>228</v>
      </c>
    </row>
    <row r="3" spans="1:15" ht="11.25" customHeight="1" x14ac:dyDescent="0.2">
      <c r="A3" s="14"/>
      <c r="G3" s="3" t="s">
        <v>104</v>
      </c>
      <c r="H3" s="3" t="str">
        <f>IF($H$1=1,G3,IF($H$1=2,G6,"-"))</f>
        <v>Koprivničko-križevačka županija</v>
      </c>
      <c r="J3" t="s">
        <v>229</v>
      </c>
    </row>
    <row r="4" spans="1:15" ht="15" x14ac:dyDescent="0.25">
      <c r="A4" s="19" t="s">
        <v>351</v>
      </c>
      <c r="G4" s="3" t="s">
        <v>105</v>
      </c>
      <c r="H4" s="3" t="str">
        <f>IF($H$1=1,G4,IF($H$1=2,G7,"-"))</f>
        <v>Međimurska županija</v>
      </c>
      <c r="J4" s="3" t="s">
        <v>232</v>
      </c>
    </row>
    <row r="5" spans="1:15" ht="46.5" customHeight="1" x14ac:dyDescent="0.2">
      <c r="A5" s="567" t="s">
        <v>181</v>
      </c>
      <c r="B5" s="571"/>
      <c r="C5" s="679" t="s">
        <v>921</v>
      </c>
      <c r="D5" s="689"/>
      <c r="E5" s="689"/>
      <c r="F5" s="690"/>
      <c r="G5" s="3" t="s">
        <v>106</v>
      </c>
      <c r="H5" s="3" t="str">
        <f>IF($H$1=1,G5,IF($H$1=2,G8,"-"))</f>
        <v>Osječko-baranjska županija</v>
      </c>
      <c r="I5" s="2" t="str">
        <f>IF(C5="",FALSE,A5)</f>
        <v>Official name of the organization in original language (max. 150 characters)</v>
      </c>
      <c r="J5" t="s">
        <v>230</v>
      </c>
    </row>
    <row r="6" spans="1:15" ht="6" customHeight="1" x14ac:dyDescent="0.2">
      <c r="A6" s="15"/>
      <c r="B6" s="12"/>
      <c r="C6" s="12"/>
      <c r="D6" s="12"/>
      <c r="E6" s="12"/>
      <c r="F6" s="12"/>
      <c r="G6" s="20" t="s">
        <v>107</v>
      </c>
      <c r="H6" s="3" t="str">
        <f>IF($H$1=1,"-",IF($H$1=2,G9,"-"))</f>
        <v>Virovitičko-podravska županija</v>
      </c>
      <c r="J6" t="s">
        <v>153</v>
      </c>
    </row>
    <row r="7" spans="1:15" ht="46.5" customHeight="1" x14ac:dyDescent="0.2">
      <c r="A7" s="567" t="s">
        <v>163</v>
      </c>
      <c r="B7" s="667"/>
      <c r="C7" s="679" t="s">
        <v>922</v>
      </c>
      <c r="D7" s="689"/>
      <c r="E7" s="689"/>
      <c r="F7" s="690"/>
      <c r="G7" s="20" t="s">
        <v>108</v>
      </c>
      <c r="H7" s="3" t="str">
        <f>IF($H$1=1,"-",IF($H$1=2,G10,"-"))</f>
        <v>Bjelovarsko-bilogorska županija</v>
      </c>
      <c r="I7" s="2" t="str">
        <f>IF(C7="",FALSE,A7)</f>
        <v>Official name of the organization in English (if exists) (max. 150 characters)</v>
      </c>
      <c r="J7" t="s">
        <v>231</v>
      </c>
    </row>
    <row r="8" spans="1:15" ht="6" customHeight="1" x14ac:dyDescent="0.2">
      <c r="A8" s="15"/>
      <c r="B8" s="12"/>
      <c r="C8" s="12"/>
      <c r="D8" s="12"/>
      <c r="E8" s="12"/>
      <c r="F8" s="12"/>
      <c r="G8" s="20" t="s">
        <v>109</v>
      </c>
      <c r="H8" s="3" t="str">
        <f>IF($H$1=1,"-",IF($H$1=2,G11,"-"))</f>
        <v>Požeško-slavonska županija</v>
      </c>
      <c r="J8" t="s">
        <v>156</v>
      </c>
    </row>
    <row r="9" spans="1:15" ht="25.5" customHeight="1" x14ac:dyDescent="0.2">
      <c r="A9" s="567" t="s">
        <v>180</v>
      </c>
      <c r="B9" s="571"/>
      <c r="C9" s="687" t="s">
        <v>923</v>
      </c>
      <c r="D9" s="695"/>
      <c r="E9" s="695"/>
      <c r="F9" s="696"/>
      <c r="G9" s="20" t="s">
        <v>110</v>
      </c>
      <c r="H9" s="3" t="str">
        <f>IF($H$1=1,"-",IF($H$1=2,G12,"-"))</f>
        <v>Varaždinska županija</v>
      </c>
      <c r="I9" s="2" t="str">
        <f>IF(C9="",FALSE,A9)</f>
        <v>Abbreviated name (in original language) (max. 20 characters)</v>
      </c>
      <c r="J9" t="s">
        <v>160</v>
      </c>
      <c r="O9" s="151"/>
    </row>
    <row r="10" spans="1:15" ht="6" customHeight="1" thickBot="1" x14ac:dyDescent="0.25">
      <c r="A10" s="15"/>
      <c r="B10" s="12"/>
      <c r="C10" s="12"/>
      <c r="D10" s="12"/>
      <c r="E10" s="12"/>
      <c r="F10" s="12"/>
      <c r="G10" s="20" t="s">
        <v>111</v>
      </c>
      <c r="H10" s="3" t="str">
        <f>IF($H$1=1,"-",IF($H$1=2,G13,"-"))</f>
        <v>Vukovarsko-srijemska županija</v>
      </c>
      <c r="J10" t="s">
        <v>154</v>
      </c>
    </row>
    <row r="11" spans="1:15" ht="12.75" customHeight="1" thickBot="1" x14ac:dyDescent="0.25">
      <c r="A11" s="567" t="s">
        <v>61</v>
      </c>
      <c r="B11" s="677"/>
      <c r="C11" s="209" t="str">
        <f>IF(OR(C13=G3,C13=G4,C13=G5),G1,IF(LEN(C13)&gt;5,G2,IF(LEN(C13)=5,C39,"")))</f>
        <v>Croatia</v>
      </c>
      <c r="D11" s="31"/>
      <c r="E11" s="684" t="s">
        <v>348</v>
      </c>
      <c r="F11" s="685"/>
      <c r="G11" s="20" t="s">
        <v>113</v>
      </c>
      <c r="I11" s="2" t="str">
        <f>IF(C11="",FALSE,A11)</f>
        <v>Country</v>
      </c>
      <c r="J11" t="s">
        <v>155</v>
      </c>
      <c r="K11" s="168" t="str">
        <f>IF(AND(LEN(C13)&gt;5,OR(C13=G3,C13=G4,C13=G5,C13=G6,C13=G7,C13=G8,C13=G9,C13=G10,C13=G11,C13=G12,C13=G13)),"",IF(C13="","",E11))</f>
        <v/>
      </c>
      <c r="L11" s="168" t="str">
        <f>IF(AND(LEN(C13)&gt;5,OR(C13=G3,C13=G4,C13=G5,C13=G6,C13=G7,C13=G8,C13=G9,C13=G10,C13=G11,C13=G12,C13=G13)),"",IF(C13="","","Lead Beneficiary is not eligible (adjacent or out of the programme area)!"))</f>
        <v/>
      </c>
    </row>
    <row r="12" spans="1:15" ht="6" customHeight="1" x14ac:dyDescent="0.2">
      <c r="A12" s="15"/>
      <c r="B12" s="12"/>
      <c r="C12" s="12"/>
      <c r="D12" s="12"/>
      <c r="E12" s="685"/>
      <c r="F12" s="685"/>
      <c r="G12" s="20" t="s">
        <v>114</v>
      </c>
      <c r="H12" s="3" t="s">
        <v>115</v>
      </c>
      <c r="J12" s="406" t="s">
        <v>401</v>
      </c>
    </row>
    <row r="13" spans="1:15" ht="12.75" customHeight="1" x14ac:dyDescent="0.2">
      <c r="A13" s="567" t="s">
        <v>112</v>
      </c>
      <c r="B13" s="677"/>
      <c r="C13" s="630" t="str">
        <f>IF(AND(ISTEXT(C72),C72&lt;&gt;"-",LEN(C41)&lt;=5,H70=C72),C72,IF(AND(ISTEXT(C41),C41&lt;&gt;"-",H39=C41),C41,""))</f>
        <v>Varaždinska županija</v>
      </c>
      <c r="D13" s="639"/>
      <c r="E13" s="685"/>
      <c r="F13" s="685"/>
      <c r="G13" s="20" t="s">
        <v>116</v>
      </c>
      <c r="H13" s="3" t="s">
        <v>117</v>
      </c>
      <c r="I13" s="2" t="str">
        <f>IF(C13="",FALSE,IF(C13="-",FALSE,A13))</f>
        <v>NUTSIII or equivalent</v>
      </c>
      <c r="J13" s="406" t="s">
        <v>402</v>
      </c>
      <c r="K13" s="3" t="str">
        <f>IF(AND(ISTEXT(C72),C72&lt;&gt;"-"),C72,IF(AND(ISTEXT(C41),C41&lt;&gt;"-"),C41,""))</f>
        <v>Varaždinska županija</v>
      </c>
    </row>
    <row r="14" spans="1:15" ht="6" customHeight="1" x14ac:dyDescent="0.2">
      <c r="A14" s="15"/>
      <c r="B14" s="12"/>
      <c r="C14" s="12"/>
      <c r="D14" s="12"/>
      <c r="E14" s="686"/>
      <c r="F14" s="686"/>
      <c r="G14" s="11" t="s">
        <v>148</v>
      </c>
      <c r="J14" s="1"/>
    </row>
    <row r="15" spans="1:15" ht="12.75" customHeight="1" x14ac:dyDescent="0.2">
      <c r="A15" s="567" t="s">
        <v>43</v>
      </c>
      <c r="B15" s="667"/>
      <c r="C15" s="568" t="s">
        <v>1</v>
      </c>
      <c r="D15" s="672"/>
      <c r="G15" s="3">
        <f>IF($C$11="Hungary",1,IF($C$11="Croatia",2,0))</f>
        <v>2</v>
      </c>
      <c r="H15" s="3" t="s">
        <v>1</v>
      </c>
      <c r="I15" s="2" t="str">
        <f>IF(C15="",FALSE,A15)</f>
        <v>Legal status</v>
      </c>
      <c r="J15" s="1"/>
    </row>
    <row r="16" spans="1:15" ht="6" customHeight="1" x14ac:dyDescent="0.2">
      <c r="A16" s="15"/>
      <c r="B16" s="12"/>
      <c r="C16" s="21"/>
      <c r="D16" s="29"/>
      <c r="E16" s="21"/>
      <c r="F16" s="12"/>
      <c r="H16" s="3" t="s">
        <v>2</v>
      </c>
      <c r="J16" s="1"/>
    </row>
    <row r="17" spans="1:9" ht="12.75" customHeight="1" x14ac:dyDescent="0.2">
      <c r="A17" s="567" t="s">
        <v>76</v>
      </c>
      <c r="B17" s="667"/>
      <c r="C17" s="511" t="s">
        <v>924</v>
      </c>
      <c r="D17" s="692" t="s">
        <v>0</v>
      </c>
      <c r="E17" s="693"/>
      <c r="I17" s="2" t="str">
        <f>IF(C17="",FALSE,A17)</f>
        <v>Date of foundation</v>
      </c>
    </row>
    <row r="18" spans="1:9" ht="6" customHeight="1" x14ac:dyDescent="0.2">
      <c r="A18" s="15"/>
      <c r="B18" s="12"/>
      <c r="C18" s="21"/>
      <c r="D18" s="12"/>
      <c r="E18" s="21"/>
      <c r="F18" s="12"/>
    </row>
    <row r="19" spans="1:9" ht="46.5" customHeight="1" x14ac:dyDescent="0.2">
      <c r="A19" s="567" t="s">
        <v>182</v>
      </c>
      <c r="B19" s="667"/>
      <c r="C19" s="679" t="s">
        <v>925</v>
      </c>
      <c r="D19" s="689"/>
      <c r="E19" s="689"/>
      <c r="F19" s="690"/>
      <c r="G19" s="30" t="s">
        <v>126</v>
      </c>
      <c r="I19" s="2" t="str">
        <f>IF(C19="",FALSE,A19)</f>
        <v>Founder organisation (max. 150 characters)</v>
      </c>
    </row>
    <row r="20" spans="1:9" ht="6" customHeight="1" x14ac:dyDescent="0.2">
      <c r="A20" s="15"/>
      <c r="B20" s="12"/>
      <c r="C20" s="21"/>
      <c r="D20" s="12"/>
      <c r="E20" s="21"/>
      <c r="F20" s="12"/>
      <c r="G20" s="30" t="s">
        <v>128</v>
      </c>
    </row>
    <row r="21" spans="1:9" ht="12.75" customHeight="1" x14ac:dyDescent="0.2">
      <c r="A21" s="567" t="s">
        <v>44</v>
      </c>
      <c r="B21" s="677"/>
      <c r="C21" s="568" t="s">
        <v>160</v>
      </c>
      <c r="D21" s="691"/>
      <c r="E21" s="691"/>
      <c r="F21" s="582"/>
      <c r="G21" s="30" t="s">
        <v>127</v>
      </c>
      <c r="I21" s="2" t="str">
        <f>IF(C21="",FALSE,A21)</f>
        <v>Type of institution</v>
      </c>
    </row>
    <row r="22" spans="1:9" ht="6" customHeight="1" x14ac:dyDescent="0.2">
      <c r="A22" s="15"/>
      <c r="B22" s="12"/>
      <c r="C22" s="21"/>
      <c r="D22" s="12"/>
      <c r="E22" s="21"/>
      <c r="F22" s="12"/>
    </row>
    <row r="23" spans="1:9" ht="12.75" customHeight="1" x14ac:dyDescent="0.2">
      <c r="A23" s="567" t="s">
        <v>66</v>
      </c>
      <c r="B23" s="667"/>
      <c r="C23" s="687" t="s">
        <v>926</v>
      </c>
      <c r="D23" s="688"/>
      <c r="E23" s="694" t="s">
        <v>159</v>
      </c>
      <c r="F23" s="619"/>
      <c r="I23" s="2" t="str">
        <f>IF(C23="",FALSE,A23)</f>
        <v>National tax number</v>
      </c>
    </row>
    <row r="24" spans="1:9" ht="6" customHeight="1" x14ac:dyDescent="0.2">
      <c r="A24" s="15"/>
      <c r="B24" s="12"/>
      <c r="C24" s="21"/>
      <c r="D24" s="12"/>
      <c r="E24" s="21"/>
      <c r="F24" s="12"/>
    </row>
    <row r="25" spans="1:9" ht="12.75" customHeight="1" x14ac:dyDescent="0.2">
      <c r="A25" s="567" t="s">
        <v>334</v>
      </c>
      <c r="B25" s="667"/>
      <c r="C25" s="687" t="s">
        <v>926</v>
      </c>
      <c r="D25" s="688"/>
      <c r="I25" s="2" t="str">
        <f>IF(C25="",FALSE,A25)</f>
        <v>EU tax number</v>
      </c>
    </row>
    <row r="26" spans="1:9" ht="6" customHeight="1" x14ac:dyDescent="0.2">
      <c r="A26" s="15"/>
      <c r="B26" s="12"/>
      <c r="C26" s="21"/>
      <c r="D26" s="12"/>
      <c r="E26" s="21"/>
      <c r="F26" s="12"/>
    </row>
    <row r="27" spans="1:9" ht="12.75" customHeight="1" x14ac:dyDescent="0.2">
      <c r="A27" s="567" t="s">
        <v>65</v>
      </c>
      <c r="B27" s="667"/>
      <c r="C27" s="687" t="s">
        <v>927</v>
      </c>
      <c r="D27" s="688"/>
      <c r="I27" s="2" t="str">
        <f>IF(C27="",FALSE,A27)</f>
        <v>Registry number</v>
      </c>
    </row>
    <row r="28" spans="1:9" ht="3" customHeight="1" x14ac:dyDescent="0.2">
      <c r="A28" s="15"/>
      <c r="B28" s="15"/>
      <c r="C28" s="31"/>
      <c r="D28" s="33"/>
      <c r="I28" s="2"/>
    </row>
    <row r="29" spans="1:9" ht="10.5" customHeight="1" x14ac:dyDescent="0.2">
      <c r="A29" s="15"/>
      <c r="B29" s="12"/>
      <c r="C29" s="21"/>
      <c r="D29" s="12"/>
      <c r="E29" s="21"/>
      <c r="F29" s="12"/>
      <c r="G29" s="7" t="s">
        <v>102</v>
      </c>
      <c r="H29" s="3">
        <f>IF($C$39="Hungary",1,IF($C$39="Croatia",2,0))</f>
        <v>2</v>
      </c>
    </row>
    <row r="30" spans="1:9" ht="19.5" customHeight="1" x14ac:dyDescent="0.2">
      <c r="A30" s="663" t="s">
        <v>75</v>
      </c>
      <c r="B30" s="682"/>
      <c r="C30" s="683"/>
      <c r="D30" s="683"/>
      <c r="E30" s="21"/>
      <c r="F30" s="12"/>
      <c r="G30" s="7" t="s">
        <v>103</v>
      </c>
      <c r="H30" s="3" t="s">
        <v>157</v>
      </c>
    </row>
    <row r="31" spans="1:9" ht="6" customHeight="1" x14ac:dyDescent="0.2">
      <c r="A31" s="15"/>
      <c r="B31" s="12"/>
      <c r="C31" s="21"/>
      <c r="D31" s="12"/>
      <c r="E31" s="21"/>
      <c r="F31" s="12"/>
      <c r="G31" s="3" t="s">
        <v>104</v>
      </c>
      <c r="H31" s="3" t="str">
        <f>IF($H$29=1,G31,IF($H$29=2,G34,"-"))</f>
        <v>Koprivničko-križevačka županija</v>
      </c>
    </row>
    <row r="32" spans="1:9" ht="25.5" customHeight="1" x14ac:dyDescent="0.2">
      <c r="A32" s="567" t="s">
        <v>118</v>
      </c>
      <c r="B32" s="567"/>
      <c r="C32" s="679" t="s">
        <v>928</v>
      </c>
      <c r="D32" s="680"/>
      <c r="E32" s="681"/>
      <c r="F32" s="12" t="s">
        <v>119</v>
      </c>
      <c r="G32" s="3" t="s">
        <v>105</v>
      </c>
      <c r="H32" s="3" t="str">
        <f>IF($H$29=1,G32,IF($H$29=2,G35,"-"))</f>
        <v>Međimurska županija</v>
      </c>
      <c r="I32" s="2" t="str">
        <f>IF(AND(C32&lt;&gt;"",C34&lt;&gt;"",E34&lt;&gt;"")=TRUE,A32,0)</f>
        <v>Address (permanent residence)</v>
      </c>
    </row>
    <row r="33" spans="1:9" ht="6" customHeight="1" x14ac:dyDescent="0.2">
      <c r="A33" s="567"/>
      <c r="B33" s="567"/>
      <c r="C33" s="12"/>
      <c r="D33" s="22"/>
      <c r="E33" s="22"/>
      <c r="F33" s="12"/>
      <c r="G33" s="3" t="s">
        <v>106</v>
      </c>
      <c r="H33" s="3" t="str">
        <f>IF($H$29=1,G33,IF($H$29=2,G36,"-"))</f>
        <v>Osječko-baranjska županija</v>
      </c>
    </row>
    <row r="34" spans="1:9" ht="25.5" x14ac:dyDescent="0.2">
      <c r="A34" s="567"/>
      <c r="B34" s="567"/>
      <c r="C34" s="23">
        <v>42000</v>
      </c>
      <c r="D34" s="12" t="s">
        <v>46</v>
      </c>
      <c r="E34" s="507" t="s">
        <v>929</v>
      </c>
      <c r="F34" s="12" t="s">
        <v>45</v>
      </c>
      <c r="G34" s="20" t="s">
        <v>107</v>
      </c>
      <c r="H34" s="3" t="str">
        <f>IF($H$29=1,"-",IF($H$29=2,G37,"-"))</f>
        <v>Virovitičko-podravska županija</v>
      </c>
    </row>
    <row r="35" spans="1:9" ht="6" customHeight="1" x14ac:dyDescent="0.2">
      <c r="A35" s="15"/>
      <c r="B35" s="15"/>
      <c r="C35" s="31"/>
      <c r="D35" s="12"/>
      <c r="E35" s="32"/>
      <c r="F35" s="12"/>
      <c r="G35" s="20" t="s">
        <v>108</v>
      </c>
      <c r="H35" s="3" t="str">
        <f>IF($H$29=1,"-",IF($H$29=2,G38,"-"))</f>
        <v>Bjelovarsko-bilogorska županija</v>
      </c>
    </row>
    <row r="36" spans="1:9" ht="12.75" customHeight="1" x14ac:dyDescent="0.2">
      <c r="A36" s="15"/>
      <c r="B36" s="15"/>
      <c r="C36" s="23"/>
      <c r="D36" s="12" t="s">
        <v>129</v>
      </c>
      <c r="E36" s="32"/>
      <c r="F36" s="12"/>
      <c r="G36" s="20" t="s">
        <v>109</v>
      </c>
      <c r="H36" s="3" t="str">
        <f>IF($H$29=1,"-",IF($H$29=2,G39,"-"))</f>
        <v>Požeško-slavonska županija</v>
      </c>
    </row>
    <row r="37" spans="1:9" ht="6" customHeight="1" x14ac:dyDescent="0.2">
      <c r="A37" s="18"/>
      <c r="B37" s="18"/>
      <c r="C37" s="12"/>
      <c r="D37" s="12"/>
      <c r="E37" s="25"/>
      <c r="F37" s="12"/>
      <c r="G37" s="20" t="s">
        <v>110</v>
      </c>
      <c r="H37" s="3" t="str">
        <f>IF($H$29=1,"-",IF($H$29=2,G40,"-"))</f>
        <v>Varaždinska županija</v>
      </c>
    </row>
    <row r="38" spans="1:9" ht="6" customHeight="1" x14ac:dyDescent="0.2">
      <c r="A38" s="15"/>
      <c r="B38" s="12"/>
      <c r="C38" s="12"/>
      <c r="D38" s="12"/>
      <c r="E38" s="12"/>
      <c r="F38" s="12"/>
      <c r="G38" s="20" t="s">
        <v>111</v>
      </c>
      <c r="H38" s="3" t="str">
        <f>IF($H$29=1,"-",IF($H$29=2,G41,"-"))</f>
        <v>Vukovarsko-srijemska županija</v>
      </c>
    </row>
    <row r="39" spans="1:9" ht="12.75" customHeight="1" x14ac:dyDescent="0.2">
      <c r="A39" s="567" t="s">
        <v>61</v>
      </c>
      <c r="B39" s="677"/>
      <c r="C39" s="65" t="s">
        <v>103</v>
      </c>
      <c r="D39" s="31"/>
      <c r="E39" s="31"/>
      <c r="F39" s="31"/>
      <c r="G39" s="20" t="s">
        <v>113</v>
      </c>
      <c r="H39" s="219" t="str">
        <f>IF(OR(LEN(C41)=LEN(H30),LEN(C41)=LEN(H31),LEN(C41)=LEN(H32),LEN(C41)=LEN(H33),LEN(C41)=LEN(H34),LEN(C41)=LEN(H35),LEN(C41)=LEN(H36),LEN(C41)=LEN(H37),LEN(C41)=LEN(H38)),C41,0)</f>
        <v>Varaždinska županija</v>
      </c>
      <c r="I39" s="2" t="str">
        <f>IF(C39="",FALSE,A39)</f>
        <v>Country</v>
      </c>
    </row>
    <row r="40" spans="1:9" ht="6" customHeight="1" x14ac:dyDescent="0.2">
      <c r="A40" s="15"/>
      <c r="B40" s="12"/>
      <c r="C40" s="12"/>
      <c r="D40" s="12"/>
      <c r="E40" s="12"/>
      <c r="F40" s="12"/>
      <c r="G40" s="20" t="s">
        <v>114</v>
      </c>
      <c r="H40" s="3" t="s">
        <v>115</v>
      </c>
    </row>
    <row r="41" spans="1:9" ht="12.75" customHeight="1" x14ac:dyDescent="0.2">
      <c r="A41" s="567" t="s">
        <v>112</v>
      </c>
      <c r="B41" s="677"/>
      <c r="C41" s="568" t="s">
        <v>114</v>
      </c>
      <c r="D41" s="672"/>
      <c r="F41" s="31"/>
      <c r="G41" s="20" t="s">
        <v>116</v>
      </c>
      <c r="H41" s="3" t="s">
        <v>117</v>
      </c>
      <c r="I41" s="220" t="str">
        <f>IF(C41="",FALSE,IF(C41="-",FALSE,IF(H39&lt;&gt;C41,FALSE,A41)))</f>
        <v>NUTSIII or equivalent</v>
      </c>
    </row>
    <row r="42" spans="1:9" ht="6" customHeight="1" x14ac:dyDescent="0.2">
      <c r="A42" s="18"/>
      <c r="B42" s="18"/>
      <c r="C42" s="12"/>
      <c r="D42" s="12"/>
      <c r="E42" s="25"/>
      <c r="F42" s="12"/>
      <c r="G42" s="11" t="e">
        <f>MID(#REF!,1,1)</f>
        <v>#REF!</v>
      </c>
    </row>
    <row r="43" spans="1:9" ht="12.75" customHeight="1" x14ac:dyDescent="0.2">
      <c r="A43" s="567" t="s">
        <v>47</v>
      </c>
      <c r="B43" s="571"/>
      <c r="C43" s="673" t="s">
        <v>930</v>
      </c>
      <c r="D43" s="573"/>
      <c r="E43" s="573"/>
      <c r="F43" s="574"/>
      <c r="G43" s="7"/>
      <c r="I43" s="2" t="str">
        <f>IF(C43="",FALSE,IF(C43="-",FALSE,A43))</f>
        <v>Web</v>
      </c>
    </row>
    <row r="44" spans="1:9" x14ac:dyDescent="0.2">
      <c r="A44" s="15"/>
      <c r="B44" s="12"/>
      <c r="C44" s="35"/>
      <c r="D44" s="34"/>
      <c r="E44" s="34"/>
      <c r="F44" s="34"/>
      <c r="G44" s="7"/>
      <c r="I44" s="2"/>
    </row>
    <row r="45" spans="1:9" ht="10.5" customHeight="1" x14ac:dyDescent="0.2">
      <c r="A45" s="15"/>
      <c r="B45" s="12"/>
      <c r="C45" s="21"/>
      <c r="D45" s="12"/>
      <c r="E45" s="21"/>
      <c r="F45" s="12"/>
      <c r="G45" s="7" t="s">
        <v>102</v>
      </c>
      <c r="H45" s="3">
        <f>IF($C$55="Hungary",1,IF($C$55="Croatia",2,0))</f>
        <v>2</v>
      </c>
    </row>
    <row r="46" spans="1:9" ht="19.5" customHeight="1" x14ac:dyDescent="0.2">
      <c r="A46" s="674" t="s">
        <v>131</v>
      </c>
      <c r="B46" s="675"/>
      <c r="C46" s="676"/>
      <c r="D46" s="676"/>
      <c r="E46" s="21"/>
      <c r="F46" s="12"/>
      <c r="G46" s="7" t="s">
        <v>103</v>
      </c>
      <c r="H46" s="3" t="s">
        <v>157</v>
      </c>
    </row>
    <row r="47" spans="1:9" ht="6" customHeight="1" x14ac:dyDescent="0.2">
      <c r="A47" s="15"/>
      <c r="B47" s="12"/>
      <c r="C47" s="21"/>
      <c r="D47" s="12"/>
      <c r="E47" s="21"/>
      <c r="F47" s="12"/>
      <c r="G47" s="3" t="s">
        <v>104</v>
      </c>
      <c r="H47" s="3" t="str">
        <f>IF($H$45=1,G47,IF($H$45=2,G50,"-"))</f>
        <v>Koprivničko-križevačka županija</v>
      </c>
    </row>
    <row r="48" spans="1:9" ht="25.5" customHeight="1" x14ac:dyDescent="0.2">
      <c r="A48" s="567" t="s">
        <v>118</v>
      </c>
      <c r="B48" s="567"/>
      <c r="C48" s="679" t="s">
        <v>928</v>
      </c>
      <c r="D48" s="680"/>
      <c r="E48" s="681"/>
      <c r="F48" s="12" t="s">
        <v>119</v>
      </c>
      <c r="G48" s="3" t="s">
        <v>105</v>
      </c>
      <c r="H48" s="3" t="str">
        <f>IF($H$45=1,G48,IF($H$45=2,G51,"-"))</f>
        <v>Međimurska županija</v>
      </c>
      <c r="I48" s="2" t="str">
        <f>IF(AND(C48&lt;&gt;"",C50&lt;&gt;"",E50&lt;&gt;"")=TRUE,A48,0)</f>
        <v>Address (permanent residence)</v>
      </c>
    </row>
    <row r="49" spans="1:9" ht="6" customHeight="1" x14ac:dyDescent="0.2">
      <c r="A49" s="567"/>
      <c r="B49" s="567"/>
      <c r="C49" s="12"/>
      <c r="D49" s="22"/>
      <c r="E49" s="22"/>
      <c r="F49" s="12"/>
      <c r="G49" s="3" t="s">
        <v>106</v>
      </c>
      <c r="H49" s="3" t="str">
        <f>IF($H$45=1,G49,IF($H$45=2,G52,"-"))</f>
        <v>Osječko-baranjska županija</v>
      </c>
    </row>
    <row r="50" spans="1:9" ht="25.5" x14ac:dyDescent="0.2">
      <c r="A50" s="567"/>
      <c r="B50" s="567"/>
      <c r="C50" s="23">
        <v>42000</v>
      </c>
      <c r="D50" s="12" t="s">
        <v>46</v>
      </c>
      <c r="E50" s="507" t="s">
        <v>929</v>
      </c>
      <c r="F50" s="12" t="s">
        <v>45</v>
      </c>
      <c r="G50" s="20" t="s">
        <v>107</v>
      </c>
      <c r="H50" s="3" t="str">
        <f>IF($H$45=1,"-",IF($H$45=2,G53,"-"))</f>
        <v>Virovitičko-podravska županija</v>
      </c>
    </row>
    <row r="51" spans="1:9" ht="6" customHeight="1" x14ac:dyDescent="0.2">
      <c r="A51" s="15"/>
      <c r="B51" s="15"/>
      <c r="C51" s="31"/>
      <c r="D51" s="12"/>
      <c r="E51" s="32"/>
      <c r="F51" s="12"/>
      <c r="G51" s="20" t="s">
        <v>108</v>
      </c>
      <c r="H51" s="3" t="str">
        <f>IF($H$45=1,"-",IF($H$45=2,G54,"-"))</f>
        <v>Bjelovarsko-bilogorska županija</v>
      </c>
    </row>
    <row r="52" spans="1:9" ht="12.75" customHeight="1" x14ac:dyDescent="0.2">
      <c r="A52" s="15"/>
      <c r="B52" s="15"/>
      <c r="C52" s="23"/>
      <c r="D52" s="12" t="s">
        <v>129</v>
      </c>
      <c r="E52" s="32"/>
      <c r="F52" s="12"/>
      <c r="G52" s="20" t="s">
        <v>109</v>
      </c>
      <c r="H52" s="3" t="str">
        <f>IF($H$45=1,"-",IF($H$45=2,G55,"-"))</f>
        <v>Požeško-slavonska županija</v>
      </c>
    </row>
    <row r="53" spans="1:9" ht="6" customHeight="1" x14ac:dyDescent="0.2">
      <c r="A53" s="18"/>
      <c r="B53" s="18"/>
      <c r="C53" s="12"/>
      <c r="D53" s="12"/>
      <c r="E53" s="25"/>
      <c r="F53" s="12"/>
      <c r="G53" s="20" t="s">
        <v>110</v>
      </c>
      <c r="H53" s="3" t="str">
        <f>IF($H$45=1,"-",IF($H$45=2,G56,"-"))</f>
        <v>Varaždinska županija</v>
      </c>
    </row>
    <row r="54" spans="1:9" ht="6" customHeight="1" x14ac:dyDescent="0.2">
      <c r="A54" s="15"/>
      <c r="B54" s="12"/>
      <c r="C54" s="12"/>
      <c r="D54" s="12"/>
      <c r="E54" s="12"/>
      <c r="F54" s="12"/>
      <c r="G54" s="20" t="s">
        <v>111</v>
      </c>
      <c r="H54" s="3" t="str">
        <f>IF($H$45=1,"-",IF($H$45=2,G57,"-"))</f>
        <v>Vukovarsko-srijemska županija</v>
      </c>
    </row>
    <row r="55" spans="1:9" ht="12.75" customHeight="1" x14ac:dyDescent="0.2">
      <c r="A55" s="567" t="s">
        <v>61</v>
      </c>
      <c r="B55" s="677"/>
      <c r="C55" s="65" t="s">
        <v>103</v>
      </c>
      <c r="D55" s="31"/>
      <c r="E55" s="31"/>
      <c r="F55" s="31"/>
      <c r="G55" s="20" t="s">
        <v>113</v>
      </c>
      <c r="H55" s="219" t="str">
        <f>IF(OR(LEN(C57)=LEN(H46),LEN(C57)=LEN(H47),LEN(C57)=LEN(H48),LEN(C57)=LEN(H49),LEN(C57)=LEN(H50),LEN(C57)=LEN(H51),LEN(C57)=LEN(H52),LEN(C57)=LEN(H53),LEN(C57)=LEN(H54)),C57,0)</f>
        <v>Varaždinska županija</v>
      </c>
      <c r="I55" s="2" t="str">
        <f>IF(C55="",FALSE,A55)</f>
        <v>Country</v>
      </c>
    </row>
    <row r="56" spans="1:9" ht="6" customHeight="1" x14ac:dyDescent="0.2">
      <c r="A56" s="15"/>
      <c r="B56" s="12"/>
      <c r="C56" s="12"/>
      <c r="D56" s="12"/>
      <c r="E56" s="12"/>
      <c r="F56" s="12"/>
      <c r="G56" s="20" t="s">
        <v>114</v>
      </c>
      <c r="H56" s="3" t="s">
        <v>115</v>
      </c>
    </row>
    <row r="57" spans="1:9" ht="12.75" customHeight="1" x14ac:dyDescent="0.2">
      <c r="A57" s="567" t="s">
        <v>112</v>
      </c>
      <c r="B57" s="677"/>
      <c r="C57" s="568" t="s">
        <v>114</v>
      </c>
      <c r="D57" s="672"/>
      <c r="F57" s="31"/>
      <c r="G57" s="20" t="s">
        <v>116</v>
      </c>
      <c r="H57" s="3" t="s">
        <v>117</v>
      </c>
      <c r="I57" s="220" t="str">
        <f>IF(C57="",FALSE,IF(C57="-",FALSE,IF(H55&lt;&gt;C57,FALSE,A57)))</f>
        <v>NUTSIII or equivalent</v>
      </c>
    </row>
    <row r="58" spans="1:9" ht="6" customHeight="1" x14ac:dyDescent="0.2">
      <c r="A58" s="18"/>
      <c r="B58" s="18"/>
      <c r="C58" s="12"/>
      <c r="D58" s="12"/>
      <c r="E58" s="25"/>
      <c r="F58" s="12"/>
      <c r="G58" s="11" t="e">
        <f>MID(#REF!,1,1)</f>
        <v>#REF!</v>
      </c>
    </row>
    <row r="59" spans="1:9" ht="15" customHeight="1" x14ac:dyDescent="0.2">
      <c r="A59" s="18"/>
      <c r="B59" s="18"/>
      <c r="C59" s="12"/>
      <c r="D59" s="12"/>
      <c r="E59" s="25"/>
      <c r="F59" s="12"/>
      <c r="G59" s="11" t="s">
        <v>130</v>
      </c>
    </row>
    <row r="60" spans="1:9" ht="10.5" customHeight="1" x14ac:dyDescent="0.2">
      <c r="A60" s="15"/>
      <c r="B60" s="12"/>
      <c r="C60" s="21"/>
      <c r="D60" s="12"/>
      <c r="E60" s="21"/>
      <c r="F60" s="12"/>
      <c r="G60" s="7" t="s">
        <v>102</v>
      </c>
      <c r="H60" s="3">
        <f>IF($C$70="Hungary",1,IF($C$70="Croatia",2,0))</f>
        <v>0</v>
      </c>
    </row>
    <row r="61" spans="1:9" ht="19.5" customHeight="1" x14ac:dyDescent="0.2">
      <c r="A61" s="674" t="s">
        <v>74</v>
      </c>
      <c r="B61" s="675"/>
      <c r="C61" s="676"/>
      <c r="D61" s="676"/>
      <c r="E61" s="21"/>
      <c r="F61" s="12"/>
      <c r="G61" s="7" t="s">
        <v>103</v>
      </c>
    </row>
    <row r="62" spans="1:9" ht="6" customHeight="1" x14ac:dyDescent="0.2">
      <c r="A62" s="15"/>
      <c r="B62" s="12"/>
      <c r="C62" s="21"/>
      <c r="D62" s="12"/>
      <c r="E62" s="21"/>
      <c r="F62" s="12"/>
      <c r="G62" s="3" t="s">
        <v>104</v>
      </c>
      <c r="H62" s="3" t="str">
        <f>IF($H$60=1,G62,IF($H$60=2,G65,"-"))</f>
        <v>-</v>
      </c>
    </row>
    <row r="63" spans="1:9" ht="25.5" customHeight="1" x14ac:dyDescent="0.2">
      <c r="A63" s="567" t="s">
        <v>118</v>
      </c>
      <c r="B63" s="567"/>
      <c r="C63" s="679" t="s">
        <v>931</v>
      </c>
      <c r="D63" s="680"/>
      <c r="E63" s="681"/>
      <c r="F63" s="12" t="s">
        <v>119</v>
      </c>
      <c r="G63" s="3" t="s">
        <v>105</v>
      </c>
      <c r="H63" s="3" t="str">
        <f>IF($H$60=1,G63,IF($H$60=2,G66,"-"))</f>
        <v>-</v>
      </c>
      <c r="I63" s="2">
        <f>IF(AND(C63&lt;&gt;"",C65&lt;&gt;"",E65&lt;&gt;"")=TRUE,A63,0)</f>
        <v>0</v>
      </c>
    </row>
    <row r="64" spans="1:9" ht="6" customHeight="1" x14ac:dyDescent="0.2">
      <c r="A64" s="567"/>
      <c r="B64" s="567"/>
      <c r="C64" s="12"/>
      <c r="D64" s="22"/>
      <c r="E64" s="22"/>
      <c r="F64" s="12"/>
      <c r="G64" s="3" t="s">
        <v>106</v>
      </c>
      <c r="H64" s="3" t="str">
        <f>IF($H$60=1,G64,IF($H$60=2,G67,"-"))</f>
        <v>-</v>
      </c>
    </row>
    <row r="65" spans="1:9" ht="25.5" x14ac:dyDescent="0.2">
      <c r="A65" s="567"/>
      <c r="B65" s="567"/>
      <c r="C65" s="23"/>
      <c r="D65" s="12" t="s">
        <v>46</v>
      </c>
      <c r="E65" s="24"/>
      <c r="F65" s="12" t="s">
        <v>45</v>
      </c>
      <c r="G65" s="20" t="s">
        <v>107</v>
      </c>
      <c r="H65" s="3" t="str">
        <f>IF($H$60=1,"-",IF($H$60=2,G68,"-"))</f>
        <v>-</v>
      </c>
    </row>
    <row r="66" spans="1:9" ht="6" customHeight="1" x14ac:dyDescent="0.2">
      <c r="A66" s="15"/>
      <c r="B66" s="15"/>
      <c r="C66" s="31"/>
      <c r="D66" s="12"/>
      <c r="E66" s="32"/>
      <c r="F66" s="12"/>
      <c r="G66" s="20" t="s">
        <v>108</v>
      </c>
      <c r="H66" s="3" t="str">
        <f>IF($H$60=1,"-",IF($H$60=2,G69,"-"))</f>
        <v>-</v>
      </c>
    </row>
    <row r="67" spans="1:9" ht="12.75" customHeight="1" x14ac:dyDescent="0.2">
      <c r="A67" s="15"/>
      <c r="B67" s="15"/>
      <c r="C67" s="23"/>
      <c r="D67" s="12" t="s">
        <v>129</v>
      </c>
      <c r="E67" s="32"/>
      <c r="F67" s="12"/>
      <c r="G67" s="20" t="s">
        <v>109</v>
      </c>
      <c r="H67" s="3" t="str">
        <f>IF($H$60=1,"-",IF($H$60=2,G70,"-"))</f>
        <v>-</v>
      </c>
    </row>
    <row r="68" spans="1:9" ht="6" customHeight="1" x14ac:dyDescent="0.2">
      <c r="A68" s="18"/>
      <c r="B68" s="18"/>
      <c r="C68" s="12"/>
      <c r="D68" s="12"/>
      <c r="E68" s="25"/>
      <c r="F68" s="12"/>
      <c r="G68" s="20" t="s">
        <v>110</v>
      </c>
      <c r="H68" s="3" t="str">
        <f>IF($H$60=1,"-",IF($H$60=2,G71,"-"))</f>
        <v>-</v>
      </c>
    </row>
    <row r="69" spans="1:9" ht="6" customHeight="1" x14ac:dyDescent="0.2">
      <c r="A69" s="15"/>
      <c r="B69" s="12"/>
      <c r="C69" s="12"/>
      <c r="D69" s="12"/>
      <c r="E69" s="12"/>
      <c r="F69" s="12"/>
      <c r="G69" s="20" t="s">
        <v>111</v>
      </c>
      <c r="H69" s="3" t="str">
        <f>IF($H$60=1,"-",IF($H$60=2,G72,"-"))</f>
        <v>-</v>
      </c>
    </row>
    <row r="70" spans="1:9" ht="12.75" customHeight="1" x14ac:dyDescent="0.2">
      <c r="A70" s="567" t="s">
        <v>61</v>
      </c>
      <c r="B70" s="677"/>
      <c r="C70" s="65"/>
      <c r="D70" s="31"/>
      <c r="E70" s="31"/>
      <c r="F70" s="31"/>
      <c r="G70" s="20" t="s">
        <v>113</v>
      </c>
      <c r="H70" s="219">
        <f>IF(OR(LEN(C72)=LEN(H61),LEN(C72)=LEN(H62),LEN(C72)=LEN(H63),LEN(C72)=LEN(H64),LEN(C72)=LEN(H65),LEN(C72)=LEN(H66),LEN(C72)=LEN(H67),LEN(C72)=LEN(H68),LEN(C72)=LEN(H69)),C72,0)</f>
        <v>0</v>
      </c>
      <c r="I70" s="2" t="b">
        <f>IF(C70="",FALSE,A70)</f>
        <v>0</v>
      </c>
    </row>
    <row r="71" spans="1:9" ht="6" customHeight="1" x14ac:dyDescent="0.2">
      <c r="A71" s="15"/>
      <c r="B71" s="12"/>
      <c r="C71" s="12"/>
      <c r="D71" s="12"/>
      <c r="E71" s="12"/>
      <c r="F71" s="12"/>
      <c r="G71" s="20" t="s">
        <v>114</v>
      </c>
      <c r="H71" s="3" t="s">
        <v>115</v>
      </c>
    </row>
    <row r="72" spans="1:9" ht="12.75" customHeight="1" x14ac:dyDescent="0.2">
      <c r="A72" s="567" t="s">
        <v>112</v>
      </c>
      <c r="B72" s="677"/>
      <c r="C72" s="568"/>
      <c r="D72" s="672"/>
      <c r="F72" s="31"/>
      <c r="G72" s="20" t="s">
        <v>116</v>
      </c>
      <c r="H72" s="3" t="s">
        <v>117</v>
      </c>
      <c r="I72" s="220" t="b">
        <f>IF(C72="",FALSE,IF(H70&lt;&gt;C72,FALSE,A72))</f>
        <v>0</v>
      </c>
    </row>
    <row r="73" spans="1:9" ht="6" customHeight="1" x14ac:dyDescent="0.2">
      <c r="A73" s="18"/>
      <c r="B73" s="18"/>
      <c r="C73" s="12"/>
      <c r="D73" s="12"/>
      <c r="E73" s="25"/>
      <c r="F73" s="12"/>
      <c r="G73" s="11" t="e">
        <f>MID(#REF!,1,1)</f>
        <v>#REF!</v>
      </c>
    </row>
    <row r="74" spans="1:9" ht="6" customHeight="1" x14ac:dyDescent="0.2">
      <c r="A74" s="18"/>
      <c r="B74" s="18"/>
      <c r="C74" s="12"/>
      <c r="D74" s="12"/>
      <c r="E74" s="25"/>
      <c r="F74" s="12"/>
      <c r="G74" s="11"/>
    </row>
    <row r="75" spans="1:9" ht="19.5" customHeight="1" x14ac:dyDescent="0.2">
      <c r="A75" s="674" t="s">
        <v>83</v>
      </c>
      <c r="B75" s="675"/>
      <c r="C75" s="676"/>
      <c r="D75" s="676"/>
      <c r="E75" s="21"/>
      <c r="F75" s="12"/>
      <c r="G75" s="7"/>
    </row>
    <row r="76" spans="1:9" ht="9" customHeight="1" x14ac:dyDescent="0.2">
      <c r="A76" s="18"/>
      <c r="B76" s="18"/>
      <c r="C76" s="12"/>
      <c r="D76" s="12"/>
      <c r="E76" s="25"/>
      <c r="F76" s="12"/>
      <c r="G76" s="3" t="str">
        <f>IF(G78=FALSE,C41,FALSE)</f>
        <v>Varaždinska županija</v>
      </c>
    </row>
    <row r="77" spans="1:9" x14ac:dyDescent="0.2">
      <c r="A77" s="567" t="s">
        <v>120</v>
      </c>
      <c r="B77" s="567"/>
      <c r="C77" s="66" t="s">
        <v>115</v>
      </c>
      <c r="D77" s="25" t="s">
        <v>121</v>
      </c>
      <c r="E77" s="527" t="s">
        <v>932</v>
      </c>
      <c r="F77" s="25" t="s">
        <v>122</v>
      </c>
      <c r="G77" s="3">
        <f>MATCH(C41,H31:H38,0)</f>
        <v>7</v>
      </c>
      <c r="I77" s="2" t="str">
        <f>IF(AND(C77&lt;&gt;"",C79&lt;&gt;"",E77&lt;&gt;"",E79&lt;&gt;"")=TRUE,A77,0)</f>
        <v xml:space="preserve">Contact  person </v>
      </c>
    </row>
    <row r="78" spans="1:9" ht="6" customHeight="1" x14ac:dyDescent="0.2">
      <c r="A78" s="567"/>
      <c r="B78" s="567"/>
      <c r="C78" s="25"/>
      <c r="D78" s="25"/>
      <c r="E78" s="25"/>
      <c r="F78" s="25"/>
      <c r="G78" s="3" t="b">
        <f>ISERR(G77)</f>
        <v>0</v>
      </c>
    </row>
    <row r="79" spans="1:9" x14ac:dyDescent="0.2">
      <c r="A79" s="567"/>
      <c r="B79" s="567"/>
      <c r="C79" s="527" t="s">
        <v>933</v>
      </c>
      <c r="D79" s="25" t="s">
        <v>48</v>
      </c>
      <c r="E79" s="527" t="s">
        <v>934</v>
      </c>
      <c r="F79" s="25" t="s">
        <v>123</v>
      </c>
      <c r="I79" s="2"/>
    </row>
    <row r="80" spans="1:9" ht="6" customHeight="1" x14ac:dyDescent="0.2">
      <c r="A80" s="26"/>
      <c r="B80" s="26"/>
      <c r="C80" s="25"/>
      <c r="D80" s="25"/>
      <c r="E80" s="25"/>
      <c r="F80" s="25"/>
    </row>
    <row r="81" spans="1:9" ht="12.75" customHeight="1" x14ac:dyDescent="0.2">
      <c r="A81" s="567" t="s">
        <v>403</v>
      </c>
      <c r="B81" s="571"/>
      <c r="C81" s="509" t="s">
        <v>935</v>
      </c>
      <c r="D81" s="12" t="s">
        <v>62</v>
      </c>
      <c r="E81" s="510" t="s">
        <v>936</v>
      </c>
      <c r="F81" s="25" t="s">
        <v>404</v>
      </c>
      <c r="I81" s="2" t="str">
        <f>IF(C81="",FALSE,A81)</f>
        <v>Telephone/ Mobile number</v>
      </c>
    </row>
    <row r="82" spans="1:9" ht="6" customHeight="1" x14ac:dyDescent="0.2">
      <c r="A82" s="15"/>
      <c r="B82" s="12"/>
      <c r="C82" s="12"/>
      <c r="D82" s="12"/>
      <c r="E82" s="25"/>
      <c r="F82" s="25"/>
    </row>
    <row r="83" spans="1:9" x14ac:dyDescent="0.2">
      <c r="A83" s="567" t="s">
        <v>49</v>
      </c>
      <c r="B83" s="571"/>
      <c r="C83" s="673" t="s">
        <v>937</v>
      </c>
      <c r="D83" s="573"/>
      <c r="E83" s="573"/>
      <c r="F83" s="574"/>
      <c r="G83" s="7"/>
      <c r="I83" s="2" t="str">
        <f>IF(AND(NOT(ISERROR(SEARCH("@",C83)&gt;0)),C83&lt;&gt;""),A83,FALSE)</f>
        <v>E-mail</v>
      </c>
    </row>
    <row r="84" spans="1:9" ht="15" x14ac:dyDescent="0.2">
      <c r="A84" s="14"/>
      <c r="G84" s="7"/>
    </row>
    <row r="85" spans="1:9" ht="19.5" customHeight="1" x14ac:dyDescent="0.2">
      <c r="A85" s="674" t="s">
        <v>68</v>
      </c>
      <c r="B85" s="675"/>
      <c r="C85" s="676"/>
      <c r="D85" s="676"/>
      <c r="E85" s="21"/>
      <c r="F85" s="12"/>
      <c r="G85" s="7"/>
    </row>
    <row r="86" spans="1:9" ht="9" customHeight="1" x14ac:dyDescent="0.2">
      <c r="A86" s="18"/>
      <c r="B86" s="18"/>
      <c r="C86" s="12"/>
      <c r="D86" s="12"/>
      <c r="E86" s="25"/>
      <c r="F86" s="12"/>
    </row>
    <row r="87" spans="1:9" x14ac:dyDescent="0.2">
      <c r="A87" s="567" t="s">
        <v>120</v>
      </c>
      <c r="B87" s="567"/>
      <c r="C87" s="66" t="s">
        <v>115</v>
      </c>
      <c r="D87" s="25" t="s">
        <v>121</v>
      </c>
      <c r="E87" s="527" t="s">
        <v>932</v>
      </c>
      <c r="F87" s="25" t="s">
        <v>122</v>
      </c>
      <c r="I87" s="2" t="str">
        <f>IF(AND(C87&lt;&gt;"",C89&lt;&gt;"",E87&lt;&gt;"",E89&lt;&gt;"")=TRUE,A87,0)</f>
        <v xml:space="preserve">Contact  person </v>
      </c>
    </row>
    <row r="88" spans="1:9" ht="6" customHeight="1" x14ac:dyDescent="0.2">
      <c r="A88" s="567"/>
      <c r="B88" s="567"/>
      <c r="C88" s="25"/>
      <c r="D88" s="25"/>
      <c r="E88" s="25"/>
      <c r="F88" s="25"/>
    </row>
    <row r="89" spans="1:9" x14ac:dyDescent="0.2">
      <c r="A89" s="567"/>
      <c r="B89" s="567"/>
      <c r="C89" s="527" t="s">
        <v>933</v>
      </c>
      <c r="D89" s="25" t="s">
        <v>48</v>
      </c>
      <c r="E89" s="527" t="s">
        <v>934</v>
      </c>
      <c r="F89" s="25" t="s">
        <v>123</v>
      </c>
      <c r="I89" s="2"/>
    </row>
    <row r="90" spans="1:9" ht="6" customHeight="1" x14ac:dyDescent="0.2">
      <c r="A90" s="26"/>
      <c r="B90" s="26"/>
      <c r="C90" s="25"/>
      <c r="D90" s="25"/>
      <c r="E90" s="25"/>
      <c r="F90" s="25"/>
    </row>
    <row r="91" spans="1:9" ht="12.75" customHeight="1" x14ac:dyDescent="0.2">
      <c r="A91" s="567" t="s">
        <v>403</v>
      </c>
      <c r="B91" s="571"/>
      <c r="C91" s="509" t="s">
        <v>935</v>
      </c>
      <c r="D91" s="12" t="s">
        <v>62</v>
      </c>
      <c r="E91" s="510" t="s">
        <v>936</v>
      </c>
      <c r="F91" s="25" t="s">
        <v>404</v>
      </c>
      <c r="I91" s="2" t="str">
        <f>IF(C91="",FALSE,A91)</f>
        <v>Telephone/ Mobile number</v>
      </c>
    </row>
    <row r="92" spans="1:9" ht="6" customHeight="1" x14ac:dyDescent="0.2">
      <c r="A92" s="15"/>
      <c r="B92" s="12"/>
      <c r="C92" s="12"/>
      <c r="D92" s="12"/>
      <c r="E92" s="25"/>
      <c r="F92" s="25"/>
    </row>
    <row r="93" spans="1:9" x14ac:dyDescent="0.2">
      <c r="A93" s="567" t="s">
        <v>49</v>
      </c>
      <c r="B93" s="571"/>
      <c r="C93" s="673" t="s">
        <v>937</v>
      </c>
      <c r="D93" s="573"/>
      <c r="E93" s="573"/>
      <c r="F93" s="574"/>
      <c r="G93" s="7"/>
      <c r="I93" s="2" t="str">
        <f>IF(AND(NOT(ISERROR(SEARCH("@",C93)&gt;0)),C93&lt;&gt;""),A93,FALSE)</f>
        <v>E-mail</v>
      </c>
    </row>
    <row r="94" spans="1:9" ht="15" x14ac:dyDescent="0.2">
      <c r="A94" s="14"/>
      <c r="G94" s="7"/>
    </row>
    <row r="95" spans="1:9" ht="15" x14ac:dyDescent="0.2">
      <c r="A95" s="14"/>
    </row>
    <row r="96" spans="1:9" x14ac:dyDescent="0.2">
      <c r="A96" s="674" t="s">
        <v>70</v>
      </c>
      <c r="B96" s="675"/>
      <c r="C96" s="676"/>
      <c r="D96" s="676"/>
      <c r="G96" s="7">
        <v>2014</v>
      </c>
    </row>
    <row r="97" spans="1:10" ht="15" x14ac:dyDescent="0.2">
      <c r="A97" s="14"/>
      <c r="G97" s="7">
        <v>2015</v>
      </c>
    </row>
    <row r="98" spans="1:10" ht="12.75" customHeight="1" x14ac:dyDescent="0.2">
      <c r="A98" s="567" t="s">
        <v>40</v>
      </c>
      <c r="B98" s="667"/>
      <c r="C98" s="668"/>
      <c r="E98" s="65">
        <v>2015</v>
      </c>
      <c r="F98" s="7" t="s">
        <v>125</v>
      </c>
      <c r="G98" s="7">
        <v>2016</v>
      </c>
      <c r="I98" s="2" t="str">
        <f>IF(E98="",FALSE,A98)</f>
        <v>Relevant year (last closed budgetary year)</v>
      </c>
    </row>
    <row r="99" spans="1:10" ht="6" customHeight="1" x14ac:dyDescent="0.2"/>
    <row r="100" spans="1:10" ht="12.75" customHeight="1" x14ac:dyDescent="0.2">
      <c r="A100" s="15" t="s">
        <v>71</v>
      </c>
      <c r="B100" s="28"/>
      <c r="C100" s="216">
        <v>11</v>
      </c>
      <c r="D100" s="7" t="s">
        <v>132</v>
      </c>
      <c r="E100" s="40" t="s">
        <v>135</v>
      </c>
      <c r="F100" s="65" t="s">
        <v>134</v>
      </c>
      <c r="G100" s="7" t="s">
        <v>59</v>
      </c>
      <c r="H100" s="3" t="b">
        <f>ISBLANK(F100)</f>
        <v>0</v>
      </c>
      <c r="I100" s="2" t="str">
        <f>IF(C100="",FALSE,A100)</f>
        <v>Number of staff</v>
      </c>
      <c r="J100" s="2" t="str">
        <f>IF(F100="",FALSE,E100)</f>
        <v>Data in currency:</v>
      </c>
    </row>
    <row r="101" spans="1:10" ht="6" customHeight="1" x14ac:dyDescent="0.25">
      <c r="A101" s="27"/>
      <c r="G101" s="7" t="s">
        <v>133</v>
      </c>
    </row>
    <row r="102" spans="1:10" ht="12.75" customHeight="1" x14ac:dyDescent="0.2">
      <c r="A102" s="567" t="s">
        <v>72</v>
      </c>
      <c r="B102" s="667"/>
      <c r="C102" s="668"/>
      <c r="E102" s="217">
        <v>46529128</v>
      </c>
      <c r="F102" s="38" t="str">
        <f>IF(H$100=FALSE,F$100,"")</f>
        <v>HRK</v>
      </c>
      <c r="G102" s="7" t="s">
        <v>134</v>
      </c>
      <c r="I102" s="2" t="str">
        <f>IF(E102="",FALSE,A102)</f>
        <v>Last closed budgetary year annual revenue</v>
      </c>
    </row>
    <row r="103" spans="1:10" ht="6" customHeight="1" x14ac:dyDescent="0.2">
      <c r="A103" s="15"/>
      <c r="B103" s="15"/>
      <c r="C103" s="36"/>
      <c r="E103" s="37"/>
      <c r="F103" s="38"/>
      <c r="G103" s="7" t="s">
        <v>130</v>
      </c>
      <c r="I103" s="2"/>
    </row>
    <row r="104" spans="1:10" ht="12.75" customHeight="1" x14ac:dyDescent="0.2">
      <c r="A104" s="567" t="s">
        <v>29</v>
      </c>
      <c r="B104" s="667"/>
      <c r="C104" s="668"/>
      <c r="E104" s="217">
        <v>49729194</v>
      </c>
      <c r="F104" s="38" t="str">
        <f>IF(H$100=FALSE,F$100,"")</f>
        <v>HRK</v>
      </c>
      <c r="G104" s="7"/>
      <c r="I104" s="2" t="str">
        <f>IF(E104="",FALSE,A104)</f>
        <v xml:space="preserve">Last closed budgetary year balance sheet total </v>
      </c>
    </row>
    <row r="105" spans="1:10" ht="6" customHeight="1" x14ac:dyDescent="0.2">
      <c r="F105" s="38"/>
    </row>
    <row r="106" spans="1:10" ht="12.75" customHeight="1" x14ac:dyDescent="0.2">
      <c r="A106" s="567" t="s">
        <v>73</v>
      </c>
      <c r="B106" s="667"/>
      <c r="C106" s="668"/>
      <c r="E106" s="217">
        <v>-3200066</v>
      </c>
      <c r="F106" s="38" t="str">
        <f>IF(H$100=FALSE,F$100,"")</f>
        <v>HRK</v>
      </c>
      <c r="G106" s="7"/>
      <c r="I106" s="2" t="str">
        <f>IF(E106="",FALSE,A106)</f>
        <v>Last closed budgetary year result</v>
      </c>
    </row>
    <row r="107" spans="1:10" ht="6" customHeight="1" x14ac:dyDescent="0.2"/>
    <row r="108" spans="1:10" x14ac:dyDescent="0.2">
      <c r="A108" s="567" t="s">
        <v>164</v>
      </c>
      <c r="B108" s="667"/>
      <c r="C108" s="668"/>
      <c r="D108" s="668"/>
      <c r="E108" s="668"/>
      <c r="F108" s="210">
        <v>0</v>
      </c>
      <c r="I108" s="2" t="str">
        <f>IF(F108="",FALSE,A108)</f>
        <v>Awarded de minimis grant in the current and the previous two financial years (EUR):</v>
      </c>
    </row>
  </sheetData>
  <sheetProtection password="F58B" sheet="1" objects="1" scenarios="1" formatCells="0" selectLockedCells="1"/>
  <mergeCells count="63">
    <mergeCell ref="A9:B9"/>
    <mergeCell ref="C9:F9"/>
    <mergeCell ref="J1:K1"/>
    <mergeCell ref="A2:F2"/>
    <mergeCell ref="A5:B5"/>
    <mergeCell ref="C5:F5"/>
    <mergeCell ref="A7:B7"/>
    <mergeCell ref="C7:F7"/>
    <mergeCell ref="A17:B17"/>
    <mergeCell ref="A19:B19"/>
    <mergeCell ref="C19:F19"/>
    <mergeCell ref="A11:B11"/>
    <mergeCell ref="A13:B13"/>
    <mergeCell ref="C13:D13"/>
    <mergeCell ref="A15:B15"/>
    <mergeCell ref="C15:D15"/>
    <mergeCell ref="E11:F14"/>
    <mergeCell ref="D17:E17"/>
    <mergeCell ref="A21:B21"/>
    <mergeCell ref="C21:F21"/>
    <mergeCell ref="A30:D30"/>
    <mergeCell ref="A32:B34"/>
    <mergeCell ref="C32:E32"/>
    <mergeCell ref="A23:B23"/>
    <mergeCell ref="C23:D23"/>
    <mergeCell ref="A25:B25"/>
    <mergeCell ref="C25:D25"/>
    <mergeCell ref="A27:B27"/>
    <mergeCell ref="C27:D27"/>
    <mergeCell ref="E23:F23"/>
    <mergeCell ref="A39:B39"/>
    <mergeCell ref="A41:B41"/>
    <mergeCell ref="C41:D41"/>
    <mergeCell ref="A55:B55"/>
    <mergeCell ref="A57:B57"/>
    <mergeCell ref="C57:D57"/>
    <mergeCell ref="A83:B83"/>
    <mergeCell ref="C83:F83"/>
    <mergeCell ref="A85:D85"/>
    <mergeCell ref="A96:D96"/>
    <mergeCell ref="A93:B93"/>
    <mergeCell ref="C93:F93"/>
    <mergeCell ref="A75:D75"/>
    <mergeCell ref="A77:B79"/>
    <mergeCell ref="A70:B70"/>
    <mergeCell ref="A72:B72"/>
    <mergeCell ref="C72:D72"/>
    <mergeCell ref="A63:B65"/>
    <mergeCell ref="C63:E63"/>
    <mergeCell ref="A106:C106"/>
    <mergeCell ref="A108:E108"/>
    <mergeCell ref="A43:B43"/>
    <mergeCell ref="C43:F43"/>
    <mergeCell ref="A46:D46"/>
    <mergeCell ref="A48:B50"/>
    <mergeCell ref="C48:E48"/>
    <mergeCell ref="A91:B91"/>
    <mergeCell ref="A87:B89"/>
    <mergeCell ref="A102:C102"/>
    <mergeCell ref="A104:C104"/>
    <mergeCell ref="A98:C98"/>
    <mergeCell ref="A61:D61"/>
    <mergeCell ref="A81:B81"/>
  </mergeCells>
  <phoneticPr fontId="3" type="noConversion"/>
  <conditionalFormatting sqref="A32:B36">
    <cfRule type="cellIs" dxfId="484" priority="39" stopIfTrue="1" operator="notEqual">
      <formula>$I$32</formula>
    </cfRule>
  </conditionalFormatting>
  <conditionalFormatting sqref="A77:B79 A87:B89">
    <cfRule type="cellIs" dxfId="483" priority="38" stopIfTrue="1" operator="notEqual">
      <formula>$I$77</formula>
    </cfRule>
  </conditionalFormatting>
  <conditionalFormatting sqref="A83:B83">
    <cfRule type="cellIs" dxfId="482" priority="37" stopIfTrue="1" operator="notEqual">
      <formula>$I$83</formula>
    </cfRule>
  </conditionalFormatting>
  <conditionalFormatting sqref="A15:B15">
    <cfRule type="cellIs" dxfId="481" priority="36" stopIfTrue="1" operator="notEqual">
      <formula>$I$15</formula>
    </cfRule>
  </conditionalFormatting>
  <conditionalFormatting sqref="A17:B17">
    <cfRule type="cellIs" dxfId="480" priority="35" stopIfTrue="1" operator="notEqual">
      <formula>$I$17</formula>
    </cfRule>
  </conditionalFormatting>
  <conditionalFormatting sqref="A23:B23">
    <cfRule type="cellIs" dxfId="479" priority="34" stopIfTrue="1" operator="notEqual">
      <formula>$I$23</formula>
    </cfRule>
  </conditionalFormatting>
  <conditionalFormatting sqref="A25:B25">
    <cfRule type="cellIs" dxfId="478" priority="33" stopIfTrue="1" operator="notEqual">
      <formula>$I$25</formula>
    </cfRule>
  </conditionalFormatting>
  <conditionalFormatting sqref="A27:B28">
    <cfRule type="cellIs" dxfId="477" priority="32" stopIfTrue="1" operator="notEqual">
      <formula>$I$27</formula>
    </cfRule>
  </conditionalFormatting>
  <conditionalFormatting sqref="A43:B45 A56:B56 A47:B47 A53:B54 A58:B60 A73:B74 A71:B71 A62:B62 A68:B69">
    <cfRule type="cellIs" dxfId="476" priority="31" stopIfTrue="1" operator="notEqual">
      <formula>$I$43</formula>
    </cfRule>
  </conditionalFormatting>
  <conditionalFormatting sqref="A48:B50">
    <cfRule type="cellIs" dxfId="475" priority="30" stopIfTrue="1" operator="notEqual">
      <formula>$I$48</formula>
    </cfRule>
  </conditionalFormatting>
  <conditionalFormatting sqref="A55:B55">
    <cfRule type="cellIs" dxfId="474" priority="29" stopIfTrue="1" operator="notEqual">
      <formula>$I$55</formula>
    </cfRule>
  </conditionalFormatting>
  <conditionalFormatting sqref="A57:B57">
    <cfRule type="cellIs" dxfId="473" priority="28" stopIfTrue="1" operator="notEqual">
      <formula>$I$57</formula>
    </cfRule>
  </conditionalFormatting>
  <conditionalFormatting sqref="A63:B65">
    <cfRule type="cellIs" dxfId="472" priority="27" stopIfTrue="1" operator="notEqual">
      <formula>$I$63</formula>
    </cfRule>
  </conditionalFormatting>
  <conditionalFormatting sqref="A70:B70">
    <cfRule type="cellIs" dxfId="471" priority="26" stopIfTrue="1" operator="notEqual">
      <formula>$I$70</formula>
    </cfRule>
  </conditionalFormatting>
  <conditionalFormatting sqref="A72:B72">
    <cfRule type="cellIs" dxfId="470" priority="25" stopIfTrue="1" operator="notEqual">
      <formula>$I$72</formula>
    </cfRule>
  </conditionalFormatting>
  <conditionalFormatting sqref="A98:C98">
    <cfRule type="cellIs" dxfId="469" priority="24" stopIfTrue="1" operator="notEqual">
      <formula>$I$98</formula>
    </cfRule>
  </conditionalFormatting>
  <conditionalFormatting sqref="A100">
    <cfRule type="cellIs" dxfId="468" priority="23" stopIfTrue="1" operator="notEqual">
      <formula>$I$100</formula>
    </cfRule>
  </conditionalFormatting>
  <conditionalFormatting sqref="E100">
    <cfRule type="cellIs" dxfId="467" priority="22" stopIfTrue="1" operator="notEqual">
      <formula>$J$100</formula>
    </cfRule>
  </conditionalFormatting>
  <conditionalFormatting sqref="A102:C102">
    <cfRule type="cellIs" dxfId="466" priority="21" stopIfTrue="1" operator="notEqual">
      <formula>$I$102</formula>
    </cfRule>
  </conditionalFormatting>
  <conditionalFormatting sqref="A104:C104">
    <cfRule type="cellIs" dxfId="465" priority="20" stopIfTrue="1" operator="notEqual">
      <formula>$I$104</formula>
    </cfRule>
  </conditionalFormatting>
  <conditionalFormatting sqref="A106:C106">
    <cfRule type="cellIs" dxfId="464" priority="19" stopIfTrue="1" operator="notEqual">
      <formula>$I$106</formula>
    </cfRule>
  </conditionalFormatting>
  <conditionalFormatting sqref="A108:E108">
    <cfRule type="cellIs" dxfId="463" priority="18" stopIfTrue="1" operator="notEqual">
      <formula>$I$108</formula>
    </cfRule>
  </conditionalFormatting>
  <conditionalFormatting sqref="A93:B93">
    <cfRule type="cellIs" dxfId="462" priority="16" stopIfTrue="1" operator="notEqual">
      <formula>$I$93</formula>
    </cfRule>
  </conditionalFormatting>
  <conditionalFormatting sqref="E11:F14">
    <cfRule type="cellIs" dxfId="461" priority="15" stopIfTrue="1" operator="equal">
      <formula>$K$11</formula>
    </cfRule>
  </conditionalFormatting>
  <conditionalFormatting sqref="A81:B81">
    <cfRule type="cellIs" dxfId="460" priority="14" stopIfTrue="1" operator="notEqual">
      <formula>$I$81</formula>
    </cfRule>
  </conditionalFormatting>
  <conditionalFormatting sqref="A91:B91">
    <cfRule type="cellIs" dxfId="459" priority="13" stopIfTrue="1" operator="notEqual">
      <formula>$I$91</formula>
    </cfRule>
  </conditionalFormatting>
  <conditionalFormatting sqref="A5:B5">
    <cfRule type="cellIs" dxfId="458" priority="12" stopIfTrue="1" operator="notEqual">
      <formula>$I$5</formula>
    </cfRule>
  </conditionalFormatting>
  <conditionalFormatting sqref="A7:B7">
    <cfRule type="cellIs" dxfId="457" priority="11" stopIfTrue="1" operator="notEqual">
      <formula>$I$7</formula>
    </cfRule>
  </conditionalFormatting>
  <conditionalFormatting sqref="A9:B9">
    <cfRule type="cellIs" dxfId="456" priority="10" stopIfTrue="1" operator="notEqual">
      <formula>$I$9</formula>
    </cfRule>
  </conditionalFormatting>
  <conditionalFormatting sqref="A19:B19">
    <cfRule type="cellIs" dxfId="455" priority="9" stopIfTrue="1" operator="notEqual">
      <formula>$I$19</formula>
    </cfRule>
  </conditionalFormatting>
  <conditionalFormatting sqref="A21:B21">
    <cfRule type="cellIs" dxfId="454" priority="8" stopIfTrue="1" operator="notEqual">
      <formula>$I$21</formula>
    </cfRule>
  </conditionalFormatting>
  <conditionalFormatting sqref="A11:B11">
    <cfRule type="cellIs" dxfId="453" priority="7" stopIfTrue="1" operator="notEqual">
      <formula>$I$11</formula>
    </cfRule>
  </conditionalFormatting>
  <conditionalFormatting sqref="A13:B13">
    <cfRule type="cellIs" dxfId="452" priority="6" stopIfTrue="1" operator="notEqual">
      <formula>$I$13</formula>
    </cfRule>
  </conditionalFormatting>
  <conditionalFormatting sqref="A39:B39">
    <cfRule type="cellIs" dxfId="451" priority="5" stopIfTrue="1" operator="notEqual">
      <formula>$I$39</formula>
    </cfRule>
  </conditionalFormatting>
  <conditionalFormatting sqref="A41:B41">
    <cfRule type="cellIs" dxfId="450" priority="4" stopIfTrue="1" operator="notEqual">
      <formula>$I$41</formula>
    </cfRule>
  </conditionalFormatting>
  <conditionalFormatting sqref="C41:D41">
    <cfRule type="cellIs" dxfId="449" priority="3" stopIfTrue="1" operator="notEqual">
      <formula>$H$39</formula>
    </cfRule>
  </conditionalFormatting>
  <conditionalFormatting sqref="C57:D57">
    <cfRule type="cellIs" dxfId="448" priority="2" stopIfTrue="1" operator="notEqual">
      <formula>$H$55</formula>
    </cfRule>
  </conditionalFormatting>
  <conditionalFormatting sqref="C72:D72">
    <cfRule type="cellIs" dxfId="447" priority="1" stopIfTrue="1" operator="notEqual">
      <formula>$H$70</formula>
    </cfRule>
  </conditionalFormatting>
  <dataValidations count="32">
    <dataValidation type="whole" allowBlank="1" showInputMessage="1" showErrorMessage="1" sqref="C51 C35 C66">
      <formula1>1000</formula1>
      <formula2>9999</formula2>
    </dataValidation>
    <dataValidation type="textLength" allowBlank="1" showInputMessage="1" showErrorMessage="1" sqref="C54:F54 C10:F10 C38:F38 C69:F69">
      <formula1>3</formula1>
      <formula2>50</formula2>
    </dataValidation>
    <dataValidation type="textLength" allowBlank="1" showInputMessage="1" showErrorMessage="1" sqref="E80 E90">
      <formula1>1</formula1>
      <formula2>30</formula2>
    </dataValidation>
    <dataValidation type="textLength" allowBlank="1" showInputMessage="1" showErrorMessage="1" sqref="E78 C9:F9 E88 C80 C90">
      <formula1>1</formula1>
      <formula2>20</formula2>
    </dataValidation>
    <dataValidation type="textLength" allowBlank="1" showInputMessage="1" showErrorMessage="1" sqref="C49:E49 C33:E33 C64:E64">
      <formula1>4</formula1>
      <formula2>100</formula2>
    </dataValidation>
    <dataValidation type="whole" operator="equal" allowBlank="1" showInputMessage="1" showErrorMessage="1" sqref="C37 C85:C86 C73:C76 C53 C58:C59 C42 C68">
      <formula1>4</formula1>
    </dataValidation>
    <dataValidation type="textLength" allowBlank="1" showInputMessage="1" showErrorMessage="1" sqref="E34:E37 E59 E73:E76 E50:E53 E85:E86 E42 E65:E68">
      <formula1>2</formula1>
      <formula2>50</formula2>
    </dataValidation>
    <dataValidation type="textLength" allowBlank="1" showInputMessage="1" showErrorMessage="1" sqref="C32:E32 C48:E48 C63:E63">
      <formula1>1</formula1>
      <formula2>100</formula2>
    </dataValidation>
    <dataValidation type="list" allowBlank="1" showInputMessage="1" showErrorMessage="1" sqref="C55 C39">
      <formula1>$G$1:$G$2</formula1>
    </dataValidation>
    <dataValidation type="textLength" allowBlank="1" showInputMessage="1" showErrorMessage="1" sqref="C6:F6 C8:F8">
      <formula1>6</formula1>
      <formula2>150</formula2>
    </dataValidation>
    <dataValidation type="list" allowBlank="1" showInputMessage="1" showErrorMessage="1" sqref="C15">
      <formula1>$H$15:$H$16</formula1>
    </dataValidation>
    <dataValidation type="whole" allowBlank="1" showInputMessage="1" showErrorMessage="1" sqref="C18">
      <formula1>1000</formula1>
      <formula2>2009</formula2>
    </dataValidation>
    <dataValidation type="textLength" operator="lessThan" allowBlank="1" showInputMessage="1" showErrorMessage="1" sqref="C19:F19">
      <formula1>150</formula1>
    </dataValidation>
    <dataValidation type="textLength" operator="lessThan" allowBlank="1" showInputMessage="1" showErrorMessage="1" sqref="C28:D28">
      <formula1>25</formula1>
    </dataValidation>
    <dataValidation type="textLength" operator="lessThan" allowBlank="1" showInputMessage="1" showErrorMessage="1" sqref="C43:F44">
      <formula1>40</formula1>
    </dataValidation>
    <dataValidation type="whole" allowBlank="1" showInputMessage="1" showErrorMessage="1" sqref="C36 C52 C67">
      <formula1>0</formula1>
      <formula2>100000</formula2>
    </dataValidation>
    <dataValidation type="decimal" allowBlank="1" showInputMessage="1" showErrorMessage="1" sqref="F108">
      <formula1>0</formula1>
      <formula2>500000</formula2>
    </dataValidation>
    <dataValidation type="decimal" allowBlank="1" showInputMessage="1" showErrorMessage="1" sqref="C100">
      <formula1>0.1</formula1>
      <formula2>99999999</formula2>
    </dataValidation>
    <dataValidation type="whole" allowBlank="1" showInputMessage="1" showErrorMessage="1" sqref="C50 C34">
      <formula1>1000</formula1>
      <formula2>99999</formula2>
    </dataValidation>
    <dataValidation type="textLength" operator="lessThanOrEqual" allowBlank="1" showInputMessage="1" showErrorMessage="1" sqref="C27:D27 C23:D23 C25:D25">
      <formula1>25</formula1>
    </dataValidation>
    <dataValidation type="list" allowBlank="1" showInputMessage="1" showErrorMessage="1" sqref="F100">
      <formula1>$G$100:$G$103</formula1>
    </dataValidation>
    <dataValidation type="list" allowBlank="1" showInputMessage="1" showErrorMessage="1" sqref="E98">
      <formula1>$G$96:$G$98</formula1>
    </dataValidation>
    <dataValidation type="list" allowBlank="1" showInputMessage="1" showErrorMessage="1" sqref="C72:D72">
      <formula1>$H$62:$H$69</formula1>
    </dataValidation>
    <dataValidation type="list" allowBlank="1" showInputMessage="1" showErrorMessage="1" sqref="C70">
      <formula1>$G$59:$G$61</formula1>
    </dataValidation>
    <dataValidation type="list" allowBlank="1" showInputMessage="1" showErrorMessage="1" sqref="C41:D41">
      <formula1>$H$30:$H$38</formula1>
    </dataValidation>
    <dataValidation type="list" allowBlank="1" showInputMessage="1" showErrorMessage="1" sqref="C77 C87">
      <formula1>$H$12:$H$13</formula1>
    </dataValidation>
    <dataValidation type="list" allowBlank="1" showInputMessage="1" showErrorMessage="1" sqref="C21:F21">
      <formula1>$J$2:$J$11</formula1>
    </dataValidation>
    <dataValidation type="textLength" allowBlank="1" showInputMessage="1" showErrorMessage="1" sqref="C5:F5 C7:F7">
      <formula1>1</formula1>
      <formula2>150</formula2>
    </dataValidation>
    <dataValidation type="list" allowBlank="1" showInputMessage="1" showErrorMessage="1" sqref="C57:D57">
      <formula1>$H$46:$H$54</formula1>
    </dataValidation>
    <dataValidation type="whole" allowBlank="1" showInputMessage="1" showErrorMessage="1" sqref="C65">
      <formula1>0</formula1>
      <formula2>99999</formula2>
    </dataValidation>
    <dataValidation type="textLength" operator="lessThanOrEqual" allowBlank="1" showInputMessage="1" showErrorMessage="1" sqref="C17">
      <formula1>15</formula1>
    </dataValidation>
    <dataValidation type="textLength" operator="lessThanOrEqual" allowBlank="1" showInputMessage="1" showErrorMessage="1" sqref="E77 C79 E79 E87 E89 C89">
      <formula1>30</formula1>
    </dataValidation>
  </dataValidations>
  <pageMargins left="0.98425196850393704" right="0.39370078740157483" top="0.74803149606299213" bottom="0.74803149606299213" header="0.31496062992125984" footer="0.31496062992125984"/>
  <pageSetup orientation="landscape" horizontalDpi="300" verticalDpi="300"/>
  <headerFooter>
    <oddFooter xml:space="preserve">&amp;C&amp;"Arial,Italic"&amp;8&amp;A&amp;R&amp;"Arial,Italic"&amp;8Page &amp;P of &amp;N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topLeftCell="A2" workbookViewId="0">
      <selection activeCell="C5" sqref="C5:F5"/>
    </sheetView>
  </sheetViews>
  <sheetFormatPr defaultColWidth="9.140625" defaultRowHeight="12.75" x14ac:dyDescent="0.2"/>
  <cols>
    <col min="1" max="2" width="14.85546875" style="3" customWidth="1"/>
    <col min="3" max="3" width="18.85546875" style="3" customWidth="1"/>
    <col min="4" max="4" width="10.7109375" style="3" customWidth="1"/>
    <col min="5" max="5" width="18.85546875" style="3" customWidth="1"/>
    <col min="6" max="6" width="12.140625" style="3" customWidth="1"/>
    <col min="7" max="7" width="24.140625" style="3" hidden="1" customWidth="1"/>
    <col min="8" max="8" width="18" style="3" hidden="1" customWidth="1"/>
    <col min="9" max="9" width="9.140625" style="3" hidden="1" customWidth="1"/>
    <col min="10" max="10" width="12.42578125" style="3" hidden="1" customWidth="1"/>
    <col min="11" max="14" width="9.140625" style="3" hidden="1" customWidth="1"/>
    <col min="15" max="16384" width="9.140625" style="3"/>
  </cols>
  <sheetData>
    <row r="1" spans="1:15" ht="6.75" hidden="1" customHeight="1" x14ac:dyDescent="0.2">
      <c r="G1" s="7" t="s">
        <v>102</v>
      </c>
      <c r="H1" s="3">
        <f>IF($C$11="Hungary",1,IF($C$11="Croatia",2,0))</f>
        <v>0</v>
      </c>
      <c r="J1" s="567" t="s">
        <v>44</v>
      </c>
      <c r="K1" s="677"/>
    </row>
    <row r="2" spans="1:15" ht="15.75" x14ac:dyDescent="0.25">
      <c r="A2" s="560" t="s">
        <v>349</v>
      </c>
      <c r="B2" s="561"/>
      <c r="C2" s="561"/>
      <c r="D2" s="561"/>
      <c r="E2" s="561"/>
      <c r="F2" s="561"/>
      <c r="G2" s="7" t="s">
        <v>103</v>
      </c>
      <c r="J2" t="s">
        <v>228</v>
      </c>
    </row>
    <row r="3" spans="1:15" ht="11.25" customHeight="1" x14ac:dyDescent="0.2">
      <c r="A3" s="14"/>
      <c r="G3" s="3" t="s">
        <v>104</v>
      </c>
      <c r="H3" s="3" t="str">
        <f>IF($H$1=1,G3,IF($H$1=2,G6,"-"))</f>
        <v>-</v>
      </c>
      <c r="J3" t="s">
        <v>229</v>
      </c>
    </row>
    <row r="4" spans="1:15" ht="15" x14ac:dyDescent="0.25">
      <c r="A4" s="19" t="s">
        <v>352</v>
      </c>
      <c r="G4" s="3" t="s">
        <v>105</v>
      </c>
      <c r="H4" s="3" t="str">
        <f>IF($H$1=1,G4,IF($H$1=2,G7,"-"))</f>
        <v>-</v>
      </c>
      <c r="J4" s="3" t="s">
        <v>232</v>
      </c>
    </row>
    <row r="5" spans="1:15" ht="46.5" customHeight="1" x14ac:dyDescent="0.2">
      <c r="A5" s="567" t="s">
        <v>181</v>
      </c>
      <c r="B5" s="571"/>
      <c r="C5" s="698"/>
      <c r="D5" s="689"/>
      <c r="E5" s="689"/>
      <c r="F5" s="690"/>
      <c r="G5" s="3" t="s">
        <v>106</v>
      </c>
      <c r="H5" s="3" t="str">
        <f>IF($H$1=1,G5,IF($H$1=2,G8,"-"))</f>
        <v>-</v>
      </c>
      <c r="I5" s="2" t="b">
        <f>IF(C5="",FALSE,A5)</f>
        <v>0</v>
      </c>
      <c r="J5" t="s">
        <v>230</v>
      </c>
    </row>
    <row r="6" spans="1:15" ht="6" customHeight="1" x14ac:dyDescent="0.2">
      <c r="A6" s="15"/>
      <c r="B6" s="12"/>
      <c r="C6" s="12"/>
      <c r="D6" s="12"/>
      <c r="E6" s="12"/>
      <c r="F6" s="12"/>
      <c r="G6" s="20" t="s">
        <v>107</v>
      </c>
      <c r="H6" s="3" t="str">
        <f>IF($H$1=1,"-",IF($H$1=2,G9,"-"))</f>
        <v>-</v>
      </c>
      <c r="J6" t="s">
        <v>153</v>
      </c>
    </row>
    <row r="7" spans="1:15" ht="46.5" customHeight="1" x14ac:dyDescent="0.2">
      <c r="A7" s="567" t="s">
        <v>163</v>
      </c>
      <c r="B7" s="667"/>
      <c r="C7" s="698"/>
      <c r="D7" s="689"/>
      <c r="E7" s="689"/>
      <c r="F7" s="690"/>
      <c r="G7" s="20" t="s">
        <v>108</v>
      </c>
      <c r="H7" s="3" t="str">
        <f>IF($H$1=1,"-",IF($H$1=2,G10,"-"))</f>
        <v>-</v>
      </c>
      <c r="I7" s="2" t="b">
        <f>IF(C7="",FALSE,A7)</f>
        <v>0</v>
      </c>
      <c r="J7" t="s">
        <v>231</v>
      </c>
    </row>
    <row r="8" spans="1:15" ht="6" customHeight="1" x14ac:dyDescent="0.2">
      <c r="A8" s="15"/>
      <c r="B8" s="12"/>
      <c r="C8" s="12"/>
      <c r="D8" s="12"/>
      <c r="E8" s="12"/>
      <c r="F8" s="12"/>
      <c r="G8" s="20" t="s">
        <v>109</v>
      </c>
      <c r="H8" s="3" t="str">
        <f>IF($H$1=1,"-",IF($H$1=2,G11,"-"))</f>
        <v>-</v>
      </c>
      <c r="J8" t="s">
        <v>156</v>
      </c>
    </row>
    <row r="9" spans="1:15" ht="25.5" customHeight="1" x14ac:dyDescent="0.2">
      <c r="A9" s="567" t="s">
        <v>180</v>
      </c>
      <c r="B9" s="571"/>
      <c r="C9" s="700"/>
      <c r="D9" s="695"/>
      <c r="E9" s="695"/>
      <c r="F9" s="696"/>
      <c r="G9" s="20" t="s">
        <v>110</v>
      </c>
      <c r="H9" s="3" t="str">
        <f>IF($H$1=1,"-",IF($H$1=2,G12,"-"))</f>
        <v>-</v>
      </c>
      <c r="I9" s="2" t="b">
        <f>IF(C9="",FALSE,A9)</f>
        <v>0</v>
      </c>
      <c r="J9" t="s">
        <v>160</v>
      </c>
      <c r="O9" s="151"/>
    </row>
    <row r="10" spans="1:15" ht="6" customHeight="1" thickBot="1" x14ac:dyDescent="0.25">
      <c r="A10" s="15"/>
      <c r="B10" s="12"/>
      <c r="C10" s="12"/>
      <c r="D10" s="12"/>
      <c r="E10" s="12"/>
      <c r="F10" s="12"/>
      <c r="G10" s="20" t="s">
        <v>111</v>
      </c>
      <c r="H10" s="3" t="str">
        <f>IF($H$1=1,"-",IF($H$1=2,G13,"-"))</f>
        <v>-</v>
      </c>
      <c r="J10" t="s">
        <v>154</v>
      </c>
    </row>
    <row r="11" spans="1:15" ht="12.75" customHeight="1" thickBot="1" x14ac:dyDescent="0.25">
      <c r="A11" s="567" t="s">
        <v>61</v>
      </c>
      <c r="B11" s="677"/>
      <c r="C11" s="209" t="str">
        <f>IF(OR(C13=G3,C13=G4,C13=G5),G1,IF(LEN(C13)&gt;5,G2,IF(LEN(C13)=5,C39,"")))</f>
        <v/>
      </c>
      <c r="D11" s="31"/>
      <c r="E11" s="684" t="s">
        <v>348</v>
      </c>
      <c r="F11" s="685"/>
      <c r="G11" s="20" t="s">
        <v>113</v>
      </c>
      <c r="I11" s="2" t="b">
        <f>IF(C11="",FALSE,A11)</f>
        <v>0</v>
      </c>
      <c r="J11" t="s">
        <v>155</v>
      </c>
      <c r="K11" s="168" t="str">
        <f>IF(AND(LEN(C13)&gt;5,OR(C13=G3,C13=G4,C13=G5,C13=G6,C13=G7,C13=G8,C13=G9,C13=G10,C13=G11,C13=G12,C13=G13)),"",IF(C13="","",E11))</f>
        <v/>
      </c>
      <c r="L11" s="168" t="str">
        <f>IF(AND(LEN(C13)&gt;5,OR(C13=G3,C13=G4,C13=G5,C13=G6,C13=G7,C13=G8,C13=G9,C13=G10,C13=G11,C13=G12,C13=G13)),"",IF(C13="","","Lead Beneficiary is not eligible (adjacent or out of the programme area)!"))</f>
        <v/>
      </c>
    </row>
    <row r="12" spans="1:15" ht="6" customHeight="1" x14ac:dyDescent="0.2">
      <c r="A12" s="15"/>
      <c r="B12" s="12"/>
      <c r="C12" s="12"/>
      <c r="D12" s="12"/>
      <c r="E12" s="685"/>
      <c r="F12" s="685"/>
      <c r="G12" s="20" t="s">
        <v>114</v>
      </c>
      <c r="H12" s="3" t="s">
        <v>115</v>
      </c>
      <c r="J12" s="406" t="s">
        <v>401</v>
      </c>
    </row>
    <row r="13" spans="1:15" ht="12.75" customHeight="1" x14ac:dyDescent="0.2">
      <c r="A13" s="567" t="s">
        <v>112</v>
      </c>
      <c r="B13" s="677"/>
      <c r="C13" s="630" t="str">
        <f>IF(AND(ISTEXT(C72),C72&lt;&gt;"-",LEN(C41)&lt;=5,H70=C72),C72,IF(AND(ISTEXT(C41),C41&lt;&gt;"-",H39=C41),C41,""))</f>
        <v/>
      </c>
      <c r="D13" s="639"/>
      <c r="E13" s="685"/>
      <c r="F13" s="685"/>
      <c r="G13" s="20" t="s">
        <v>116</v>
      </c>
      <c r="H13" s="3" t="s">
        <v>117</v>
      </c>
      <c r="I13" s="2" t="b">
        <f>IF(C13="",FALSE,IF(C13="-",FALSE,A13))</f>
        <v>0</v>
      </c>
      <c r="J13" s="406" t="s">
        <v>402</v>
      </c>
      <c r="K13" s="3" t="str">
        <f>IF(AND(ISTEXT(C72),C72&lt;&gt;"-"),C72,IF(AND(ISTEXT(C41),C41&lt;&gt;"-"),C41,""))</f>
        <v/>
      </c>
    </row>
    <row r="14" spans="1:15" ht="6" customHeight="1" x14ac:dyDescent="0.2">
      <c r="A14" s="15"/>
      <c r="B14" s="12"/>
      <c r="C14" s="12"/>
      <c r="D14" s="12"/>
      <c r="E14" s="686"/>
      <c r="F14" s="686"/>
      <c r="G14" s="11" t="s">
        <v>148</v>
      </c>
      <c r="J14" s="1"/>
    </row>
    <row r="15" spans="1:15" ht="12.75" customHeight="1" x14ac:dyDescent="0.2">
      <c r="A15" s="567" t="s">
        <v>43</v>
      </c>
      <c r="B15" s="667"/>
      <c r="C15" s="568"/>
      <c r="D15" s="672"/>
      <c r="G15" s="3">
        <f>IF($C$11="Hungary",1,IF($C$11="Croatia",2,0))</f>
        <v>0</v>
      </c>
      <c r="H15" s="3" t="s">
        <v>1</v>
      </c>
      <c r="I15" s="2" t="b">
        <f>IF(C15="",FALSE,A15)</f>
        <v>0</v>
      </c>
      <c r="J15" s="1"/>
    </row>
    <row r="16" spans="1:15" ht="6" customHeight="1" x14ac:dyDescent="0.2">
      <c r="A16" s="15"/>
      <c r="B16" s="12"/>
      <c r="C16" s="21"/>
      <c r="D16" s="29"/>
      <c r="E16" s="21"/>
      <c r="F16" s="12"/>
      <c r="H16" s="3" t="s">
        <v>2</v>
      </c>
      <c r="J16" s="1"/>
    </row>
    <row r="17" spans="1:9" ht="12.75" customHeight="1" x14ac:dyDescent="0.2">
      <c r="A17" s="567" t="s">
        <v>76</v>
      </c>
      <c r="B17" s="667"/>
      <c r="C17" s="301"/>
      <c r="D17" s="692" t="s">
        <v>0</v>
      </c>
      <c r="E17" s="693"/>
      <c r="I17" s="2" t="b">
        <f>IF(C17="",FALSE,A17)</f>
        <v>0</v>
      </c>
    </row>
    <row r="18" spans="1:9" ht="6" customHeight="1" x14ac:dyDescent="0.2">
      <c r="A18" s="15"/>
      <c r="B18" s="12"/>
      <c r="C18" s="21"/>
      <c r="D18" s="12"/>
      <c r="E18" s="21"/>
      <c r="F18" s="12"/>
    </row>
    <row r="19" spans="1:9" ht="46.5" customHeight="1" x14ac:dyDescent="0.2">
      <c r="A19" s="567" t="s">
        <v>182</v>
      </c>
      <c r="B19" s="667"/>
      <c r="C19" s="698"/>
      <c r="D19" s="689"/>
      <c r="E19" s="689"/>
      <c r="F19" s="690"/>
      <c r="G19" s="30" t="s">
        <v>126</v>
      </c>
      <c r="I19" s="2" t="b">
        <f>IF(C19="",FALSE,A19)</f>
        <v>0</v>
      </c>
    </row>
    <row r="20" spans="1:9" ht="6" customHeight="1" x14ac:dyDescent="0.2">
      <c r="A20" s="15"/>
      <c r="B20" s="12"/>
      <c r="C20" s="21"/>
      <c r="D20" s="12"/>
      <c r="E20" s="21"/>
      <c r="F20" s="12"/>
      <c r="G20" s="30" t="s">
        <v>128</v>
      </c>
    </row>
    <row r="21" spans="1:9" ht="12.75" customHeight="1" x14ac:dyDescent="0.2">
      <c r="A21" s="567" t="s">
        <v>44</v>
      </c>
      <c r="B21" s="677"/>
      <c r="C21" s="568"/>
      <c r="D21" s="691"/>
      <c r="E21" s="691"/>
      <c r="F21" s="582"/>
      <c r="G21" s="30" t="s">
        <v>127</v>
      </c>
      <c r="I21" s="2" t="b">
        <f>IF(C21="",FALSE,A21)</f>
        <v>0</v>
      </c>
    </row>
    <row r="22" spans="1:9" ht="6" customHeight="1" x14ac:dyDescent="0.2">
      <c r="A22" s="15"/>
      <c r="B22" s="12"/>
      <c r="C22" s="21"/>
      <c r="D22" s="12"/>
      <c r="E22" s="21"/>
      <c r="F22" s="12"/>
    </row>
    <row r="23" spans="1:9" ht="12.75" customHeight="1" x14ac:dyDescent="0.2">
      <c r="A23" s="567" t="s">
        <v>66</v>
      </c>
      <c r="B23" s="667"/>
      <c r="C23" s="700"/>
      <c r="D23" s="688"/>
      <c r="E23" s="694" t="s">
        <v>159</v>
      </c>
      <c r="F23" s="619"/>
      <c r="I23" s="2" t="b">
        <f>IF(C23="",FALSE,A23)</f>
        <v>0</v>
      </c>
    </row>
    <row r="24" spans="1:9" ht="6" customHeight="1" x14ac:dyDescent="0.2">
      <c r="A24" s="15"/>
      <c r="B24" s="12"/>
      <c r="C24" s="21"/>
      <c r="D24" s="12"/>
      <c r="E24" s="21"/>
      <c r="F24" s="12"/>
    </row>
    <row r="25" spans="1:9" ht="12.75" customHeight="1" x14ac:dyDescent="0.2">
      <c r="A25" s="567" t="s">
        <v>334</v>
      </c>
      <c r="B25" s="667"/>
      <c r="C25" s="700"/>
      <c r="D25" s="688"/>
      <c r="I25" s="2" t="b">
        <f>IF(C25="",FALSE,A25)</f>
        <v>0</v>
      </c>
    </row>
    <row r="26" spans="1:9" ht="6" customHeight="1" x14ac:dyDescent="0.2">
      <c r="A26" s="15"/>
      <c r="B26" s="12"/>
      <c r="C26" s="21"/>
      <c r="D26" s="12"/>
      <c r="E26" s="21"/>
      <c r="F26" s="12"/>
    </row>
    <row r="27" spans="1:9" ht="12.75" customHeight="1" x14ac:dyDescent="0.2">
      <c r="A27" s="567" t="s">
        <v>65</v>
      </c>
      <c r="B27" s="667"/>
      <c r="C27" s="700"/>
      <c r="D27" s="688"/>
      <c r="I27" s="2" t="b">
        <f>IF(C27="",FALSE,A27)</f>
        <v>0</v>
      </c>
    </row>
    <row r="28" spans="1:9" ht="3" customHeight="1" x14ac:dyDescent="0.2">
      <c r="A28" s="15"/>
      <c r="B28" s="15"/>
      <c r="C28" s="31"/>
      <c r="D28" s="33"/>
      <c r="I28" s="2"/>
    </row>
    <row r="29" spans="1:9" ht="10.5" customHeight="1" x14ac:dyDescent="0.2">
      <c r="A29" s="15"/>
      <c r="B29" s="12"/>
      <c r="C29" s="21"/>
      <c r="D29" s="12"/>
      <c r="E29" s="21"/>
      <c r="F29" s="12"/>
      <c r="G29" s="7" t="s">
        <v>102</v>
      </c>
      <c r="H29" s="3">
        <f>IF($C$39="Hungary",1,IF($C$39="Croatia",2,0))</f>
        <v>0</v>
      </c>
    </row>
    <row r="30" spans="1:9" ht="19.5" customHeight="1" x14ac:dyDescent="0.2">
      <c r="A30" s="663" t="s">
        <v>75</v>
      </c>
      <c r="B30" s="682"/>
      <c r="C30" s="683"/>
      <c r="D30" s="683"/>
      <c r="E30" s="21"/>
      <c r="F30" s="12"/>
      <c r="G30" s="7" t="s">
        <v>103</v>
      </c>
      <c r="H30" s="3" t="s">
        <v>157</v>
      </c>
    </row>
    <row r="31" spans="1:9" ht="6" customHeight="1" x14ac:dyDescent="0.2">
      <c r="A31" s="15"/>
      <c r="B31" s="12"/>
      <c r="C31" s="21"/>
      <c r="D31" s="12"/>
      <c r="E31" s="21"/>
      <c r="F31" s="12"/>
      <c r="G31" s="3" t="s">
        <v>104</v>
      </c>
      <c r="H31" s="3" t="str">
        <f>IF($H$29=1,G31,IF($H$29=2,G34,"-"))</f>
        <v>-</v>
      </c>
    </row>
    <row r="32" spans="1:9" ht="25.5" customHeight="1" x14ac:dyDescent="0.2">
      <c r="A32" s="567" t="s">
        <v>118</v>
      </c>
      <c r="B32" s="567"/>
      <c r="C32" s="698"/>
      <c r="D32" s="680"/>
      <c r="E32" s="681"/>
      <c r="F32" s="12" t="s">
        <v>119</v>
      </c>
      <c r="G32" s="3" t="s">
        <v>105</v>
      </c>
      <c r="H32" s="3" t="str">
        <f>IF($H$29=1,G32,IF($H$29=2,G35,"-"))</f>
        <v>-</v>
      </c>
      <c r="I32" s="2">
        <f>IF(AND(C32&lt;&gt;"",C34&lt;&gt;"",E34&lt;&gt;"")=TRUE,A32,0)</f>
        <v>0</v>
      </c>
    </row>
    <row r="33" spans="1:9" ht="6" customHeight="1" x14ac:dyDescent="0.2">
      <c r="A33" s="567"/>
      <c r="B33" s="567"/>
      <c r="C33" s="12"/>
      <c r="D33" s="22"/>
      <c r="E33" s="22"/>
      <c r="F33" s="12"/>
      <c r="G33" s="3" t="s">
        <v>106</v>
      </c>
      <c r="H33" s="3" t="str">
        <f>IF($H$29=1,G33,IF($H$29=2,G36,"-"))</f>
        <v>-</v>
      </c>
    </row>
    <row r="34" spans="1:9" ht="25.5" x14ac:dyDescent="0.2">
      <c r="A34" s="567"/>
      <c r="B34" s="567"/>
      <c r="C34" s="23"/>
      <c r="D34" s="12" t="s">
        <v>46</v>
      </c>
      <c r="E34" s="24"/>
      <c r="F34" s="12" t="s">
        <v>45</v>
      </c>
      <c r="G34" s="20" t="s">
        <v>107</v>
      </c>
      <c r="H34" s="3" t="str">
        <f>IF($H$29=1,"-",IF($H$29=2,G37,"-"))</f>
        <v>-</v>
      </c>
    </row>
    <row r="35" spans="1:9" ht="6" customHeight="1" x14ac:dyDescent="0.2">
      <c r="A35" s="15"/>
      <c r="B35" s="15"/>
      <c r="C35" s="31"/>
      <c r="D35" s="12"/>
      <c r="E35" s="32"/>
      <c r="F35" s="12"/>
      <c r="G35" s="20" t="s">
        <v>108</v>
      </c>
      <c r="H35" s="3" t="str">
        <f>IF($H$29=1,"-",IF($H$29=2,G38,"-"))</f>
        <v>-</v>
      </c>
    </row>
    <row r="36" spans="1:9" ht="12.75" customHeight="1" x14ac:dyDescent="0.2">
      <c r="A36" s="15"/>
      <c r="B36" s="15"/>
      <c r="C36" s="23"/>
      <c r="D36" s="12" t="s">
        <v>129</v>
      </c>
      <c r="E36" s="32"/>
      <c r="F36" s="12"/>
      <c r="G36" s="20" t="s">
        <v>109</v>
      </c>
      <c r="H36" s="3" t="str">
        <f>IF($H$29=1,"-",IF($H$29=2,G39,"-"))</f>
        <v>-</v>
      </c>
    </row>
    <row r="37" spans="1:9" ht="6" customHeight="1" x14ac:dyDescent="0.2">
      <c r="A37" s="18"/>
      <c r="B37" s="18"/>
      <c r="C37" s="12"/>
      <c r="D37" s="12"/>
      <c r="E37" s="25"/>
      <c r="F37" s="12"/>
      <c r="G37" s="20" t="s">
        <v>110</v>
      </c>
      <c r="H37" s="3" t="str">
        <f>IF($H$29=1,"-",IF($H$29=2,G40,"-"))</f>
        <v>-</v>
      </c>
    </row>
    <row r="38" spans="1:9" ht="6" customHeight="1" x14ac:dyDescent="0.2">
      <c r="A38" s="15"/>
      <c r="B38" s="12"/>
      <c r="C38" s="12"/>
      <c r="D38" s="12"/>
      <c r="E38" s="12"/>
      <c r="F38" s="12"/>
      <c r="G38" s="20" t="s">
        <v>111</v>
      </c>
      <c r="H38" s="3" t="str">
        <f>IF($H$29=1,"-",IF($H$29=2,G41,"-"))</f>
        <v>-</v>
      </c>
    </row>
    <row r="39" spans="1:9" ht="12.75" customHeight="1" x14ac:dyDescent="0.2">
      <c r="A39" s="567" t="s">
        <v>61</v>
      </c>
      <c r="B39" s="677"/>
      <c r="C39" s="65"/>
      <c r="D39" s="31"/>
      <c r="E39" s="31"/>
      <c r="F39" s="31"/>
      <c r="G39" s="20" t="s">
        <v>113</v>
      </c>
      <c r="H39" s="219">
        <f>IF(OR(LEN(C41)=LEN(H30),LEN(C41)=LEN(H31),LEN(C41)=LEN(H32),LEN(C41)=LEN(H33),LEN(C41)=LEN(H34),LEN(C41)=LEN(H35),LEN(C41)=LEN(H36),LEN(C41)=LEN(H37),LEN(C41)=LEN(H38)),C41,0)</f>
        <v>0</v>
      </c>
      <c r="I39" s="2" t="b">
        <f>IF(C39="",FALSE,A39)</f>
        <v>0</v>
      </c>
    </row>
    <row r="40" spans="1:9" ht="6" customHeight="1" x14ac:dyDescent="0.2">
      <c r="A40" s="15"/>
      <c r="B40" s="12"/>
      <c r="C40" s="12"/>
      <c r="D40" s="12"/>
      <c r="E40" s="12"/>
      <c r="F40" s="12"/>
      <c r="G40" s="20" t="s">
        <v>114</v>
      </c>
      <c r="H40" s="3" t="s">
        <v>115</v>
      </c>
    </row>
    <row r="41" spans="1:9" ht="12.75" customHeight="1" x14ac:dyDescent="0.2">
      <c r="A41" s="567" t="s">
        <v>112</v>
      </c>
      <c r="B41" s="677"/>
      <c r="C41" s="568"/>
      <c r="D41" s="672"/>
      <c r="F41" s="31"/>
      <c r="G41" s="20" t="s">
        <v>116</v>
      </c>
      <c r="H41" s="3" t="s">
        <v>117</v>
      </c>
      <c r="I41" s="220" t="b">
        <f>IF(C41="",FALSE,IF(C41="-",FALSE,IF(H39&lt;&gt;C41,FALSE,A41)))</f>
        <v>0</v>
      </c>
    </row>
    <row r="42" spans="1:9" ht="6" customHeight="1" x14ac:dyDescent="0.2">
      <c r="A42" s="18"/>
      <c r="B42" s="18"/>
      <c r="C42" s="12"/>
      <c r="D42" s="12"/>
      <c r="E42" s="25"/>
      <c r="F42" s="12"/>
      <c r="G42" s="11" t="e">
        <f>MID(#REF!,1,1)</f>
        <v>#REF!</v>
      </c>
    </row>
    <row r="43" spans="1:9" ht="12.75" customHeight="1" x14ac:dyDescent="0.2">
      <c r="A43" s="567" t="s">
        <v>47</v>
      </c>
      <c r="B43" s="571"/>
      <c r="C43" s="699"/>
      <c r="D43" s="573"/>
      <c r="E43" s="573"/>
      <c r="F43" s="574"/>
      <c r="G43" s="7"/>
      <c r="I43" s="2" t="b">
        <f>IF(C43="",FALSE,IF(C43="-",FALSE,A43))</f>
        <v>0</v>
      </c>
    </row>
    <row r="44" spans="1:9" x14ac:dyDescent="0.2">
      <c r="A44" s="15"/>
      <c r="B44" s="12"/>
      <c r="C44" s="35"/>
      <c r="D44" s="34"/>
      <c r="E44" s="34"/>
      <c r="F44" s="34"/>
      <c r="G44" s="7"/>
      <c r="I44" s="2"/>
    </row>
    <row r="45" spans="1:9" ht="10.5" customHeight="1" x14ac:dyDescent="0.2">
      <c r="A45" s="15"/>
      <c r="B45" s="12"/>
      <c r="C45" s="21"/>
      <c r="D45" s="12"/>
      <c r="E45" s="21"/>
      <c r="F45" s="12"/>
      <c r="G45" s="7" t="s">
        <v>102</v>
      </c>
      <c r="H45" s="3">
        <f>IF($C$55="Hungary",1,IF($C$55="Croatia",2,0))</f>
        <v>0</v>
      </c>
    </row>
    <row r="46" spans="1:9" ht="19.5" customHeight="1" x14ac:dyDescent="0.2">
      <c r="A46" s="674" t="s">
        <v>131</v>
      </c>
      <c r="B46" s="675"/>
      <c r="C46" s="676"/>
      <c r="D46" s="676"/>
      <c r="E46" s="21"/>
      <c r="F46" s="12"/>
      <c r="G46" s="7" t="s">
        <v>103</v>
      </c>
      <c r="H46" s="3" t="s">
        <v>157</v>
      </c>
    </row>
    <row r="47" spans="1:9" ht="6" customHeight="1" x14ac:dyDescent="0.2">
      <c r="A47" s="15"/>
      <c r="B47" s="12"/>
      <c r="C47" s="21"/>
      <c r="D47" s="12"/>
      <c r="E47" s="21"/>
      <c r="F47" s="12"/>
      <c r="G47" s="3" t="s">
        <v>104</v>
      </c>
      <c r="H47" s="3" t="str">
        <f>IF($H$45=1,G47,IF($H$45=2,G50,"-"))</f>
        <v>-</v>
      </c>
    </row>
    <row r="48" spans="1:9" ht="25.5" customHeight="1" x14ac:dyDescent="0.2">
      <c r="A48" s="567" t="s">
        <v>118</v>
      </c>
      <c r="B48" s="567"/>
      <c r="C48" s="698"/>
      <c r="D48" s="680"/>
      <c r="E48" s="681"/>
      <c r="F48" s="12" t="s">
        <v>119</v>
      </c>
      <c r="G48" s="3" t="s">
        <v>105</v>
      </c>
      <c r="H48" s="3" t="str">
        <f>IF($H$45=1,G48,IF($H$45=2,G51,"-"))</f>
        <v>-</v>
      </c>
      <c r="I48" s="2">
        <f>IF(AND(C48&lt;&gt;"",C50&lt;&gt;"",E50&lt;&gt;"")=TRUE,A48,0)</f>
        <v>0</v>
      </c>
    </row>
    <row r="49" spans="1:9" ht="6" customHeight="1" x14ac:dyDescent="0.2">
      <c r="A49" s="567"/>
      <c r="B49" s="567"/>
      <c r="C49" s="12"/>
      <c r="D49" s="22"/>
      <c r="E49" s="22"/>
      <c r="F49" s="12"/>
      <c r="G49" s="3" t="s">
        <v>106</v>
      </c>
      <c r="H49" s="3" t="str">
        <f>IF($H$45=1,G49,IF($H$45=2,G52,"-"))</f>
        <v>-</v>
      </c>
    </row>
    <row r="50" spans="1:9" ht="25.5" x14ac:dyDescent="0.2">
      <c r="A50" s="567"/>
      <c r="B50" s="567"/>
      <c r="C50" s="23"/>
      <c r="D50" s="12" t="s">
        <v>46</v>
      </c>
      <c r="E50" s="24"/>
      <c r="F50" s="12" t="s">
        <v>45</v>
      </c>
      <c r="G50" s="20" t="s">
        <v>107</v>
      </c>
      <c r="H50" s="3" t="str">
        <f>IF($H$45=1,"-",IF($H$45=2,G53,"-"))</f>
        <v>-</v>
      </c>
    </row>
    <row r="51" spans="1:9" ht="6" customHeight="1" x14ac:dyDescent="0.2">
      <c r="A51" s="15"/>
      <c r="B51" s="15"/>
      <c r="C51" s="31"/>
      <c r="D51" s="12"/>
      <c r="E51" s="32"/>
      <c r="F51" s="12"/>
      <c r="G51" s="20" t="s">
        <v>108</v>
      </c>
      <c r="H51" s="3" t="str">
        <f>IF($H$45=1,"-",IF($H$45=2,G54,"-"))</f>
        <v>-</v>
      </c>
    </row>
    <row r="52" spans="1:9" ht="12.75" customHeight="1" x14ac:dyDescent="0.2">
      <c r="A52" s="15"/>
      <c r="B52" s="15"/>
      <c r="C52" s="23"/>
      <c r="D52" s="12" t="s">
        <v>129</v>
      </c>
      <c r="E52" s="32"/>
      <c r="F52" s="12"/>
      <c r="G52" s="20" t="s">
        <v>109</v>
      </c>
      <c r="H52" s="3" t="str">
        <f>IF($H$45=1,"-",IF($H$45=2,G55,"-"))</f>
        <v>-</v>
      </c>
    </row>
    <row r="53" spans="1:9" ht="6" customHeight="1" x14ac:dyDescent="0.2">
      <c r="A53" s="18"/>
      <c r="B53" s="18"/>
      <c r="C53" s="12"/>
      <c r="D53" s="12"/>
      <c r="E53" s="25"/>
      <c r="F53" s="12"/>
      <c r="G53" s="20" t="s">
        <v>110</v>
      </c>
      <c r="H53" s="3" t="str">
        <f>IF($H$45=1,"-",IF($H$45=2,G56,"-"))</f>
        <v>-</v>
      </c>
    </row>
    <row r="54" spans="1:9" ht="6" customHeight="1" x14ac:dyDescent="0.2">
      <c r="A54" s="15"/>
      <c r="B54" s="12"/>
      <c r="C54" s="12"/>
      <c r="D54" s="12"/>
      <c r="E54" s="12"/>
      <c r="F54" s="12"/>
      <c r="G54" s="20" t="s">
        <v>111</v>
      </c>
      <c r="H54" s="3" t="str">
        <f>IF($H$45=1,"-",IF($H$45=2,G57,"-"))</f>
        <v>-</v>
      </c>
    </row>
    <row r="55" spans="1:9" ht="12.75" customHeight="1" x14ac:dyDescent="0.2">
      <c r="A55" s="567" t="s">
        <v>61</v>
      </c>
      <c r="B55" s="677"/>
      <c r="C55" s="65"/>
      <c r="D55" s="31"/>
      <c r="E55" s="31"/>
      <c r="F55" s="31"/>
      <c r="G55" s="20" t="s">
        <v>113</v>
      </c>
      <c r="H55" s="219">
        <f>IF(OR(LEN(C57)=LEN(H46),LEN(C57)=LEN(H47),LEN(C57)=LEN(H48),LEN(C57)=LEN(H49),LEN(C57)=LEN(H50),LEN(C57)=LEN(H51),LEN(C57)=LEN(H52),LEN(C57)=LEN(H53),LEN(C57)=LEN(H54)),C57,0)</f>
        <v>0</v>
      </c>
      <c r="I55" s="2" t="b">
        <f>IF(C55="",FALSE,A55)</f>
        <v>0</v>
      </c>
    </row>
    <row r="56" spans="1:9" ht="6" customHeight="1" x14ac:dyDescent="0.2">
      <c r="A56" s="15"/>
      <c r="B56" s="12"/>
      <c r="C56" s="12"/>
      <c r="D56" s="12"/>
      <c r="E56" s="12"/>
      <c r="F56" s="12"/>
      <c r="G56" s="20" t="s">
        <v>114</v>
      </c>
      <c r="H56" s="3" t="s">
        <v>115</v>
      </c>
    </row>
    <row r="57" spans="1:9" ht="12.75" customHeight="1" x14ac:dyDescent="0.2">
      <c r="A57" s="567" t="s">
        <v>112</v>
      </c>
      <c r="B57" s="677"/>
      <c r="C57" s="568"/>
      <c r="D57" s="672"/>
      <c r="F57" s="31"/>
      <c r="G57" s="20" t="s">
        <v>116</v>
      </c>
      <c r="H57" s="3" t="s">
        <v>117</v>
      </c>
      <c r="I57" s="220" t="b">
        <f>IF(C57="",FALSE,IF(C57="-",FALSE,IF(H55&lt;&gt;C57,FALSE,A57)))</f>
        <v>0</v>
      </c>
    </row>
    <row r="58" spans="1:9" ht="6" customHeight="1" x14ac:dyDescent="0.2">
      <c r="A58" s="18"/>
      <c r="B58" s="18"/>
      <c r="C58" s="12"/>
      <c r="D58" s="12"/>
      <c r="E58" s="25"/>
      <c r="F58" s="12"/>
      <c r="G58" s="11" t="e">
        <f>MID(#REF!,1,1)</f>
        <v>#REF!</v>
      </c>
    </row>
    <row r="59" spans="1:9" ht="15" customHeight="1" x14ac:dyDescent="0.2">
      <c r="A59" s="18"/>
      <c r="B59" s="18"/>
      <c r="C59" s="12"/>
      <c r="D59" s="12"/>
      <c r="E59" s="25"/>
      <c r="F59" s="12"/>
      <c r="G59" s="11" t="s">
        <v>130</v>
      </c>
    </row>
    <row r="60" spans="1:9" ht="10.5" customHeight="1" x14ac:dyDescent="0.2">
      <c r="A60" s="15"/>
      <c r="B60" s="12"/>
      <c r="C60" s="21"/>
      <c r="D60" s="12"/>
      <c r="E60" s="21"/>
      <c r="F60" s="12"/>
      <c r="G60" s="7" t="s">
        <v>102</v>
      </c>
      <c r="H60" s="3">
        <f>IF($C$70="Hungary",1,IF($C$70="Croatia",2,0))</f>
        <v>0</v>
      </c>
    </row>
    <row r="61" spans="1:9" ht="19.5" customHeight="1" x14ac:dyDescent="0.2">
      <c r="A61" s="674" t="s">
        <v>74</v>
      </c>
      <c r="B61" s="675"/>
      <c r="C61" s="676"/>
      <c r="D61" s="676"/>
      <c r="E61" s="21"/>
      <c r="F61" s="12"/>
      <c r="G61" s="7" t="s">
        <v>103</v>
      </c>
    </row>
    <row r="62" spans="1:9" ht="6" customHeight="1" x14ac:dyDescent="0.2">
      <c r="A62" s="15"/>
      <c r="B62" s="12"/>
      <c r="C62" s="21"/>
      <c r="D62" s="12"/>
      <c r="E62" s="21"/>
      <c r="F62" s="12"/>
      <c r="G62" s="3" t="s">
        <v>104</v>
      </c>
      <c r="H62" s="3" t="str">
        <f>IF($H$60=1,G62,IF($H$60=2,G65,"-"))</f>
        <v>-</v>
      </c>
    </row>
    <row r="63" spans="1:9" ht="25.5" customHeight="1" x14ac:dyDescent="0.2">
      <c r="A63" s="567" t="s">
        <v>118</v>
      </c>
      <c r="B63" s="567"/>
      <c r="C63" s="698"/>
      <c r="D63" s="680"/>
      <c r="E63" s="681"/>
      <c r="F63" s="12" t="s">
        <v>119</v>
      </c>
      <c r="G63" s="3" t="s">
        <v>105</v>
      </c>
      <c r="H63" s="3" t="str">
        <f>IF($H$60=1,G63,IF($H$60=2,G66,"-"))</f>
        <v>-</v>
      </c>
      <c r="I63" s="2">
        <f>IF(AND(C63&lt;&gt;"",C65&lt;&gt;"",E65&lt;&gt;"")=TRUE,A63,0)</f>
        <v>0</v>
      </c>
    </row>
    <row r="64" spans="1:9" ht="6" customHeight="1" x14ac:dyDescent="0.2">
      <c r="A64" s="567"/>
      <c r="B64" s="567"/>
      <c r="C64" s="12"/>
      <c r="D64" s="22"/>
      <c r="E64" s="22"/>
      <c r="F64" s="12"/>
      <c r="G64" s="3" t="s">
        <v>106</v>
      </c>
      <c r="H64" s="3" t="str">
        <f>IF($H$60=1,G64,IF($H$60=2,G67,"-"))</f>
        <v>-</v>
      </c>
    </row>
    <row r="65" spans="1:9" ht="25.5" x14ac:dyDescent="0.2">
      <c r="A65" s="567"/>
      <c r="B65" s="567"/>
      <c r="C65" s="23"/>
      <c r="D65" s="12" t="s">
        <v>46</v>
      </c>
      <c r="E65" s="24"/>
      <c r="F65" s="12" t="s">
        <v>45</v>
      </c>
      <c r="G65" s="20" t="s">
        <v>107</v>
      </c>
      <c r="H65" s="3" t="str">
        <f>IF($H$60=1,"-",IF($H$60=2,G68,"-"))</f>
        <v>-</v>
      </c>
    </row>
    <row r="66" spans="1:9" ht="6" customHeight="1" x14ac:dyDescent="0.2">
      <c r="A66" s="15"/>
      <c r="B66" s="15"/>
      <c r="C66" s="31"/>
      <c r="D66" s="12"/>
      <c r="E66" s="32"/>
      <c r="F66" s="12"/>
      <c r="G66" s="20" t="s">
        <v>108</v>
      </c>
      <c r="H66" s="3" t="str">
        <f>IF($H$60=1,"-",IF($H$60=2,G69,"-"))</f>
        <v>-</v>
      </c>
    </row>
    <row r="67" spans="1:9" ht="12.75" customHeight="1" x14ac:dyDescent="0.2">
      <c r="A67" s="15"/>
      <c r="B67" s="15"/>
      <c r="C67" s="23"/>
      <c r="D67" s="12" t="s">
        <v>129</v>
      </c>
      <c r="E67" s="32"/>
      <c r="F67" s="12"/>
      <c r="G67" s="20" t="s">
        <v>109</v>
      </c>
      <c r="H67" s="3" t="str">
        <f>IF($H$60=1,"-",IF($H$60=2,G70,"-"))</f>
        <v>-</v>
      </c>
    </row>
    <row r="68" spans="1:9" ht="6" customHeight="1" x14ac:dyDescent="0.2">
      <c r="A68" s="18"/>
      <c r="B68" s="18"/>
      <c r="C68" s="12"/>
      <c r="D68" s="12"/>
      <c r="E68" s="25"/>
      <c r="F68" s="12"/>
      <c r="G68" s="20" t="s">
        <v>110</v>
      </c>
      <c r="H68" s="3" t="str">
        <f>IF($H$60=1,"-",IF($H$60=2,G71,"-"))</f>
        <v>-</v>
      </c>
    </row>
    <row r="69" spans="1:9" ht="6" customHeight="1" x14ac:dyDescent="0.2">
      <c r="A69" s="15"/>
      <c r="B69" s="12"/>
      <c r="C69" s="12"/>
      <c r="D69" s="12"/>
      <c r="E69" s="12"/>
      <c r="F69" s="12"/>
      <c r="G69" s="20" t="s">
        <v>111</v>
      </c>
      <c r="H69" s="3" t="str">
        <f>IF($H$60=1,"-",IF($H$60=2,G72,"-"))</f>
        <v>-</v>
      </c>
    </row>
    <row r="70" spans="1:9" ht="12.75" customHeight="1" x14ac:dyDescent="0.2">
      <c r="A70" s="567" t="s">
        <v>61</v>
      </c>
      <c r="B70" s="677"/>
      <c r="C70" s="65"/>
      <c r="D70" s="31"/>
      <c r="E70" s="31"/>
      <c r="F70" s="31"/>
      <c r="G70" s="20" t="s">
        <v>113</v>
      </c>
      <c r="H70" s="219">
        <f>IF(OR(LEN(C72)=LEN(H61),LEN(C72)=LEN(H62),LEN(C72)=LEN(H63),LEN(C72)=LEN(H64),LEN(C72)=LEN(H65),LEN(C72)=LEN(H66),LEN(C72)=LEN(H67),LEN(C72)=LEN(H68),LEN(C72)=LEN(H69)),C72,0)</f>
        <v>0</v>
      </c>
      <c r="I70" s="2" t="b">
        <f>IF(C70="",FALSE,A70)</f>
        <v>0</v>
      </c>
    </row>
    <row r="71" spans="1:9" ht="6" customHeight="1" x14ac:dyDescent="0.2">
      <c r="A71" s="15"/>
      <c r="B71" s="12"/>
      <c r="C71" s="12"/>
      <c r="D71" s="12"/>
      <c r="E71" s="12"/>
      <c r="F71" s="12"/>
      <c r="G71" s="20" t="s">
        <v>114</v>
      </c>
      <c r="H71" s="3" t="s">
        <v>115</v>
      </c>
    </row>
    <row r="72" spans="1:9" ht="12.75" customHeight="1" x14ac:dyDescent="0.2">
      <c r="A72" s="567" t="s">
        <v>112</v>
      </c>
      <c r="B72" s="677"/>
      <c r="C72" s="568"/>
      <c r="D72" s="672"/>
      <c r="F72" s="31"/>
      <c r="G72" s="20" t="s">
        <v>116</v>
      </c>
      <c r="H72" s="3" t="s">
        <v>117</v>
      </c>
      <c r="I72" s="220" t="b">
        <f>IF(C72="",FALSE,IF(H70&lt;&gt;C72,FALSE,A72))</f>
        <v>0</v>
      </c>
    </row>
    <row r="73" spans="1:9" ht="6" customHeight="1" x14ac:dyDescent="0.2">
      <c r="A73" s="18"/>
      <c r="B73" s="18"/>
      <c r="C73" s="12"/>
      <c r="D73" s="12"/>
      <c r="E73" s="25"/>
      <c r="F73" s="12"/>
      <c r="G73" s="11" t="e">
        <f>MID(#REF!,1,1)</f>
        <v>#REF!</v>
      </c>
    </row>
    <row r="74" spans="1:9" ht="6" customHeight="1" x14ac:dyDescent="0.2">
      <c r="A74" s="18"/>
      <c r="B74" s="18"/>
      <c r="C74" s="12"/>
      <c r="D74" s="12"/>
      <c r="E74" s="25"/>
      <c r="F74" s="12"/>
      <c r="G74" s="11"/>
    </row>
    <row r="75" spans="1:9" ht="19.5" customHeight="1" x14ac:dyDescent="0.2">
      <c r="A75" s="674" t="s">
        <v>83</v>
      </c>
      <c r="B75" s="675"/>
      <c r="C75" s="676"/>
      <c r="D75" s="676"/>
      <c r="E75" s="21"/>
      <c r="F75" s="12"/>
      <c r="G75" s="7"/>
    </row>
    <row r="76" spans="1:9" ht="9" customHeight="1" x14ac:dyDescent="0.2">
      <c r="A76" s="18"/>
      <c r="B76" s="18"/>
      <c r="C76" s="12"/>
      <c r="D76" s="12"/>
      <c r="E76" s="25"/>
      <c r="F76" s="12"/>
      <c r="G76" s="3">
        <f>IF(G78=FALSE,C41,FALSE)</f>
        <v>0</v>
      </c>
    </row>
    <row r="77" spans="1:9" x14ac:dyDescent="0.2">
      <c r="A77" s="567" t="s">
        <v>120</v>
      </c>
      <c r="B77" s="567"/>
      <c r="C77" s="66"/>
      <c r="D77" s="25" t="s">
        <v>121</v>
      </c>
      <c r="E77" s="23"/>
      <c r="F77" s="25" t="s">
        <v>122</v>
      </c>
      <c r="G77" s="3" t="e">
        <f>MATCH(C41,H31:H38,0)</f>
        <v>#N/A</v>
      </c>
      <c r="I77" s="2">
        <f>IF(AND(C77&lt;&gt;"",C79&lt;&gt;"",E77&lt;&gt;"",E79&lt;&gt;"")=TRUE,A77,0)</f>
        <v>0</v>
      </c>
    </row>
    <row r="78" spans="1:9" ht="6" customHeight="1" x14ac:dyDescent="0.2">
      <c r="A78" s="567"/>
      <c r="B78" s="567"/>
      <c r="C78" s="25"/>
      <c r="D78" s="25"/>
      <c r="E78" s="25"/>
      <c r="F78" s="25"/>
      <c r="G78" s="3" t="b">
        <f>ISERR(G77)</f>
        <v>0</v>
      </c>
    </row>
    <row r="79" spans="1:9" x14ac:dyDescent="0.2">
      <c r="A79" s="567"/>
      <c r="B79" s="567"/>
      <c r="C79" s="23"/>
      <c r="D79" s="25" t="s">
        <v>48</v>
      </c>
      <c r="E79" s="23"/>
      <c r="F79" s="25" t="s">
        <v>123</v>
      </c>
      <c r="I79" s="2"/>
    </row>
    <row r="80" spans="1:9" ht="6" customHeight="1" x14ac:dyDescent="0.2">
      <c r="A80" s="26"/>
      <c r="B80" s="26"/>
      <c r="C80" s="25"/>
      <c r="D80" s="25"/>
      <c r="E80" s="25"/>
      <c r="F80" s="25"/>
    </row>
    <row r="81" spans="1:9" ht="12.75" customHeight="1" x14ac:dyDescent="0.2">
      <c r="A81" s="567" t="s">
        <v>403</v>
      </c>
      <c r="B81" s="571"/>
      <c r="C81" s="218"/>
      <c r="D81" s="12" t="s">
        <v>62</v>
      </c>
      <c r="E81" s="215"/>
      <c r="F81" s="25" t="s">
        <v>404</v>
      </c>
      <c r="I81" s="2" t="b">
        <f>IF(C81="",FALSE,A81)</f>
        <v>0</v>
      </c>
    </row>
    <row r="82" spans="1:9" ht="6" customHeight="1" x14ac:dyDescent="0.2">
      <c r="A82" s="15"/>
      <c r="B82" s="12"/>
      <c r="C82" s="12"/>
      <c r="D82" s="12"/>
      <c r="E82" s="25"/>
      <c r="F82" s="25"/>
    </row>
    <row r="83" spans="1:9" x14ac:dyDescent="0.2">
      <c r="A83" s="567" t="s">
        <v>49</v>
      </c>
      <c r="B83" s="571"/>
      <c r="C83" s="673"/>
      <c r="D83" s="573"/>
      <c r="E83" s="573"/>
      <c r="F83" s="574"/>
      <c r="G83" s="7"/>
      <c r="I83" s="2" t="b">
        <f>IF(AND(NOT(ISERROR(SEARCH("@",C83)&gt;0)),C83&lt;&gt;""),A83,FALSE)</f>
        <v>0</v>
      </c>
    </row>
    <row r="84" spans="1:9" ht="15" x14ac:dyDescent="0.2">
      <c r="A84" s="14"/>
      <c r="G84" s="7"/>
    </row>
    <row r="85" spans="1:9" ht="19.5" customHeight="1" x14ac:dyDescent="0.2">
      <c r="A85" s="674" t="s">
        <v>68</v>
      </c>
      <c r="B85" s="675"/>
      <c r="C85" s="676"/>
      <c r="D85" s="676"/>
      <c r="E85" s="21"/>
      <c r="F85" s="12"/>
      <c r="G85" s="7"/>
    </row>
    <row r="86" spans="1:9" ht="9" customHeight="1" x14ac:dyDescent="0.2">
      <c r="A86" s="18"/>
      <c r="B86" s="18"/>
      <c r="C86" s="12"/>
      <c r="D86" s="12"/>
      <c r="E86" s="25"/>
      <c r="F86" s="12"/>
    </row>
    <row r="87" spans="1:9" x14ac:dyDescent="0.2">
      <c r="A87" s="567" t="s">
        <v>120</v>
      </c>
      <c r="B87" s="567"/>
      <c r="C87" s="66"/>
      <c r="D87" s="25" t="s">
        <v>121</v>
      </c>
      <c r="E87" s="23"/>
      <c r="F87" s="25" t="s">
        <v>122</v>
      </c>
      <c r="I87" s="2">
        <f>IF(AND(C87&lt;&gt;"",C89&lt;&gt;"",E87&lt;&gt;"",E89&lt;&gt;"")=TRUE,A87,0)</f>
        <v>0</v>
      </c>
    </row>
    <row r="88" spans="1:9" ht="6" customHeight="1" x14ac:dyDescent="0.2">
      <c r="A88" s="567"/>
      <c r="B88" s="567"/>
      <c r="C88" s="25"/>
      <c r="D88" s="25"/>
      <c r="E88" s="25"/>
      <c r="F88" s="25"/>
    </row>
    <row r="89" spans="1:9" x14ac:dyDescent="0.2">
      <c r="A89" s="567"/>
      <c r="B89" s="567"/>
      <c r="C89" s="23"/>
      <c r="D89" s="25" t="s">
        <v>48</v>
      </c>
      <c r="E89" s="23"/>
      <c r="F89" s="25" t="s">
        <v>123</v>
      </c>
      <c r="I89" s="2"/>
    </row>
    <row r="90" spans="1:9" ht="6" customHeight="1" x14ac:dyDescent="0.2">
      <c r="A90" s="26"/>
      <c r="B90" s="26"/>
      <c r="C90" s="25"/>
      <c r="D90" s="25"/>
      <c r="E90" s="25"/>
      <c r="F90" s="25"/>
    </row>
    <row r="91" spans="1:9" ht="12.75" customHeight="1" x14ac:dyDescent="0.2">
      <c r="A91" s="567" t="s">
        <v>403</v>
      </c>
      <c r="B91" s="571"/>
      <c r="C91" s="218"/>
      <c r="D91" s="12" t="s">
        <v>62</v>
      </c>
      <c r="E91" s="215"/>
      <c r="F91" s="25" t="s">
        <v>404</v>
      </c>
      <c r="I91" s="2" t="b">
        <f>IF(C91="",FALSE,A91)</f>
        <v>0</v>
      </c>
    </row>
    <row r="92" spans="1:9" ht="6" customHeight="1" x14ac:dyDescent="0.2">
      <c r="A92" s="15"/>
      <c r="B92" s="12"/>
      <c r="C92" s="12"/>
      <c r="D92" s="12"/>
      <c r="E92" s="25"/>
      <c r="F92" s="25"/>
    </row>
    <row r="93" spans="1:9" x14ac:dyDescent="0.2">
      <c r="A93" s="567" t="s">
        <v>49</v>
      </c>
      <c r="B93" s="571"/>
      <c r="C93" s="673"/>
      <c r="D93" s="573"/>
      <c r="E93" s="573"/>
      <c r="F93" s="574"/>
      <c r="G93" s="7"/>
      <c r="I93" s="2" t="b">
        <f>IF(AND(NOT(ISERROR(SEARCH("@",C93)&gt;0)),C93&lt;&gt;""),A93,FALSE)</f>
        <v>0</v>
      </c>
    </row>
    <row r="94" spans="1:9" ht="15" x14ac:dyDescent="0.2">
      <c r="A94" s="14"/>
      <c r="G94" s="7"/>
    </row>
    <row r="95" spans="1:9" ht="15" x14ac:dyDescent="0.2">
      <c r="A95" s="14"/>
    </row>
    <row r="96" spans="1:9" x14ac:dyDescent="0.2">
      <c r="A96" s="674" t="s">
        <v>70</v>
      </c>
      <c r="B96" s="675"/>
      <c r="C96" s="676"/>
      <c r="D96" s="676"/>
      <c r="G96" s="7">
        <v>2014</v>
      </c>
    </row>
    <row r="97" spans="1:10" ht="15" x14ac:dyDescent="0.2">
      <c r="A97" s="14"/>
      <c r="G97" s="7">
        <v>2015</v>
      </c>
    </row>
    <row r="98" spans="1:10" ht="12.75" customHeight="1" x14ac:dyDescent="0.2">
      <c r="A98" s="567" t="s">
        <v>40</v>
      </c>
      <c r="B98" s="667"/>
      <c r="C98" s="668"/>
      <c r="E98" s="65"/>
      <c r="F98" s="7" t="s">
        <v>125</v>
      </c>
      <c r="G98" s="7">
        <v>2016</v>
      </c>
      <c r="I98" s="2" t="b">
        <f>IF(E98="",FALSE,A98)</f>
        <v>0</v>
      </c>
    </row>
    <row r="99" spans="1:10" ht="6" customHeight="1" x14ac:dyDescent="0.2"/>
    <row r="100" spans="1:10" ht="12.75" customHeight="1" x14ac:dyDescent="0.2">
      <c r="A100" s="15" t="s">
        <v>71</v>
      </c>
      <c r="B100" s="28"/>
      <c r="C100" s="216"/>
      <c r="D100" s="7" t="s">
        <v>132</v>
      </c>
      <c r="E100" s="40" t="s">
        <v>135</v>
      </c>
      <c r="F100" s="65"/>
      <c r="G100" s="7" t="s">
        <v>59</v>
      </c>
      <c r="H100" s="3" t="b">
        <f>ISBLANK(F100)</f>
        <v>1</v>
      </c>
      <c r="I100" s="2" t="b">
        <f>IF(C100="",FALSE,A100)</f>
        <v>0</v>
      </c>
      <c r="J100" s="2" t="b">
        <f>IF(F100="",FALSE,E100)</f>
        <v>0</v>
      </c>
    </row>
    <row r="101" spans="1:10" ht="6" customHeight="1" x14ac:dyDescent="0.25">
      <c r="A101" s="27"/>
      <c r="G101" s="7" t="s">
        <v>133</v>
      </c>
    </row>
    <row r="102" spans="1:10" ht="12.75" customHeight="1" x14ac:dyDescent="0.2">
      <c r="A102" s="567" t="s">
        <v>72</v>
      </c>
      <c r="B102" s="667"/>
      <c r="C102" s="668"/>
      <c r="E102" s="217"/>
      <c r="F102" s="38" t="str">
        <f>IF(H$100=FALSE,F$100,"")</f>
        <v/>
      </c>
      <c r="G102" s="7" t="s">
        <v>134</v>
      </c>
      <c r="I102" s="2" t="b">
        <f>IF(E102="",FALSE,A102)</f>
        <v>0</v>
      </c>
    </row>
    <row r="103" spans="1:10" ht="6" customHeight="1" x14ac:dyDescent="0.2">
      <c r="A103" s="15"/>
      <c r="B103" s="15"/>
      <c r="C103" s="36"/>
      <c r="E103" s="37"/>
      <c r="F103" s="38"/>
      <c r="G103" s="7" t="s">
        <v>130</v>
      </c>
      <c r="I103" s="2"/>
    </row>
    <row r="104" spans="1:10" ht="12.75" customHeight="1" x14ac:dyDescent="0.2">
      <c r="A104" s="567" t="s">
        <v>29</v>
      </c>
      <c r="B104" s="667"/>
      <c r="C104" s="668"/>
      <c r="E104" s="217"/>
      <c r="F104" s="38" t="str">
        <f>IF(H$100=FALSE,F$100,"")</f>
        <v/>
      </c>
      <c r="G104" s="7"/>
      <c r="I104" s="2" t="b">
        <f>IF(E104="",FALSE,A104)</f>
        <v>0</v>
      </c>
    </row>
    <row r="105" spans="1:10" ht="6" customHeight="1" x14ac:dyDescent="0.2">
      <c r="F105" s="38"/>
    </row>
    <row r="106" spans="1:10" ht="12.75" customHeight="1" x14ac:dyDescent="0.2">
      <c r="A106" s="567" t="s">
        <v>73</v>
      </c>
      <c r="B106" s="667"/>
      <c r="C106" s="668"/>
      <c r="E106" s="217"/>
      <c r="F106" s="38" t="str">
        <f>IF(H$100=FALSE,F$100,"")</f>
        <v/>
      </c>
      <c r="G106" s="7"/>
      <c r="I106" s="2" t="b">
        <f>IF(E106="",FALSE,A106)</f>
        <v>0</v>
      </c>
    </row>
    <row r="107" spans="1:10" ht="6" customHeight="1" x14ac:dyDescent="0.2"/>
    <row r="108" spans="1:10" x14ac:dyDescent="0.2">
      <c r="A108" s="567" t="s">
        <v>164</v>
      </c>
      <c r="B108" s="667"/>
      <c r="C108" s="668"/>
      <c r="D108" s="668"/>
      <c r="E108" s="668"/>
      <c r="F108" s="210"/>
      <c r="I108" s="2" t="b">
        <f>IF(F108="",FALSE,A108)</f>
        <v>0</v>
      </c>
    </row>
  </sheetData>
  <sheetProtection password="F58B" sheet="1" selectLockedCells="1"/>
  <mergeCells count="63">
    <mergeCell ref="A9:B9"/>
    <mergeCell ref="C9:F9"/>
    <mergeCell ref="J1:K1"/>
    <mergeCell ref="A2:F2"/>
    <mergeCell ref="A5:B5"/>
    <mergeCell ref="C5:F5"/>
    <mergeCell ref="A7:B7"/>
    <mergeCell ref="C7:F7"/>
    <mergeCell ref="A17:B17"/>
    <mergeCell ref="A19:B19"/>
    <mergeCell ref="C19:F19"/>
    <mergeCell ref="A11:B11"/>
    <mergeCell ref="A13:B13"/>
    <mergeCell ref="C13:D13"/>
    <mergeCell ref="A15:B15"/>
    <mergeCell ref="C15:D15"/>
    <mergeCell ref="E11:F14"/>
    <mergeCell ref="D17:E17"/>
    <mergeCell ref="A21:B21"/>
    <mergeCell ref="C21:F21"/>
    <mergeCell ref="A30:D30"/>
    <mergeCell ref="A32:B34"/>
    <mergeCell ref="C32:E32"/>
    <mergeCell ref="A23:B23"/>
    <mergeCell ref="C23:D23"/>
    <mergeCell ref="A25:B25"/>
    <mergeCell ref="C25:D25"/>
    <mergeCell ref="A27:B27"/>
    <mergeCell ref="C27:D27"/>
    <mergeCell ref="E23:F23"/>
    <mergeCell ref="A39:B39"/>
    <mergeCell ref="A41:B41"/>
    <mergeCell ref="C41:D41"/>
    <mergeCell ref="A55:B55"/>
    <mergeCell ref="A57:B57"/>
    <mergeCell ref="C57:D57"/>
    <mergeCell ref="A83:B83"/>
    <mergeCell ref="C83:F83"/>
    <mergeCell ref="A85:D85"/>
    <mergeCell ref="A96:D96"/>
    <mergeCell ref="A93:B93"/>
    <mergeCell ref="C93:F93"/>
    <mergeCell ref="A75:D75"/>
    <mergeCell ref="A77:B79"/>
    <mergeCell ref="A70:B70"/>
    <mergeCell ref="A72:B72"/>
    <mergeCell ref="C72:D72"/>
    <mergeCell ref="A63:B65"/>
    <mergeCell ref="C63:E63"/>
    <mergeCell ref="A106:C106"/>
    <mergeCell ref="A108:E108"/>
    <mergeCell ref="A43:B43"/>
    <mergeCell ref="C43:F43"/>
    <mergeCell ref="A46:D46"/>
    <mergeCell ref="A48:B50"/>
    <mergeCell ref="C48:E48"/>
    <mergeCell ref="A91:B91"/>
    <mergeCell ref="A87:B89"/>
    <mergeCell ref="A102:C102"/>
    <mergeCell ref="A104:C104"/>
    <mergeCell ref="A98:C98"/>
    <mergeCell ref="A61:D61"/>
    <mergeCell ref="A81:B81"/>
  </mergeCells>
  <phoneticPr fontId="3" type="noConversion"/>
  <conditionalFormatting sqref="A32:B36">
    <cfRule type="cellIs" dxfId="446" priority="39" stopIfTrue="1" operator="notEqual">
      <formula>$I$32</formula>
    </cfRule>
  </conditionalFormatting>
  <conditionalFormatting sqref="A77:B79 A87:B89">
    <cfRule type="cellIs" dxfId="445" priority="38" stopIfTrue="1" operator="notEqual">
      <formula>$I$77</formula>
    </cfRule>
  </conditionalFormatting>
  <conditionalFormatting sqref="A83:B83">
    <cfRule type="cellIs" dxfId="444" priority="37" stopIfTrue="1" operator="notEqual">
      <formula>$I$83</formula>
    </cfRule>
  </conditionalFormatting>
  <conditionalFormatting sqref="A15:B15">
    <cfRule type="cellIs" dxfId="443" priority="36" stopIfTrue="1" operator="notEqual">
      <formula>$I$15</formula>
    </cfRule>
  </conditionalFormatting>
  <conditionalFormatting sqref="A17:B17">
    <cfRule type="cellIs" dxfId="442" priority="35" stopIfTrue="1" operator="notEqual">
      <formula>$I$17</formula>
    </cfRule>
  </conditionalFormatting>
  <conditionalFormatting sqref="A23:B23">
    <cfRule type="cellIs" dxfId="441" priority="34" stopIfTrue="1" operator="notEqual">
      <formula>$I$23</formula>
    </cfRule>
  </conditionalFormatting>
  <conditionalFormatting sqref="A25:B25">
    <cfRule type="cellIs" dxfId="440" priority="33" stopIfTrue="1" operator="notEqual">
      <formula>$I$25</formula>
    </cfRule>
  </conditionalFormatting>
  <conditionalFormatting sqref="A27:B28">
    <cfRule type="cellIs" dxfId="439" priority="32" stopIfTrue="1" operator="notEqual">
      <formula>$I$27</formula>
    </cfRule>
  </conditionalFormatting>
  <conditionalFormatting sqref="A43:B45 A56:B56 A47:B47 A53:B54 A58:B60 A73:B74 A71:B71 A62:B62 A68:B69">
    <cfRule type="cellIs" dxfId="438" priority="31" stopIfTrue="1" operator="notEqual">
      <formula>$I$43</formula>
    </cfRule>
  </conditionalFormatting>
  <conditionalFormatting sqref="A48:B50">
    <cfRule type="cellIs" dxfId="437" priority="30" stopIfTrue="1" operator="notEqual">
      <formula>$I$48</formula>
    </cfRule>
  </conditionalFormatting>
  <conditionalFormatting sqref="A55:B55">
    <cfRule type="cellIs" dxfId="436" priority="29" stopIfTrue="1" operator="notEqual">
      <formula>$I$55</formula>
    </cfRule>
  </conditionalFormatting>
  <conditionalFormatting sqref="A57:B57">
    <cfRule type="cellIs" dxfId="435" priority="28" stopIfTrue="1" operator="notEqual">
      <formula>$I$57</formula>
    </cfRule>
  </conditionalFormatting>
  <conditionalFormatting sqref="A63:B65">
    <cfRule type="cellIs" dxfId="434" priority="27" stopIfTrue="1" operator="notEqual">
      <formula>$I$63</formula>
    </cfRule>
  </conditionalFormatting>
  <conditionalFormatting sqref="A70:B70">
    <cfRule type="cellIs" dxfId="433" priority="26" stopIfTrue="1" operator="notEqual">
      <formula>$I$70</formula>
    </cfRule>
  </conditionalFormatting>
  <conditionalFormatting sqref="A72:B72">
    <cfRule type="cellIs" dxfId="432" priority="25" stopIfTrue="1" operator="notEqual">
      <formula>$I$72</formula>
    </cfRule>
  </conditionalFormatting>
  <conditionalFormatting sqref="A98:C98">
    <cfRule type="cellIs" dxfId="431" priority="24" stopIfTrue="1" operator="notEqual">
      <formula>$I$98</formula>
    </cfRule>
  </conditionalFormatting>
  <conditionalFormatting sqref="A100">
    <cfRule type="cellIs" dxfId="430" priority="23" stopIfTrue="1" operator="notEqual">
      <formula>$I$100</formula>
    </cfRule>
  </conditionalFormatting>
  <conditionalFormatting sqref="E100">
    <cfRule type="cellIs" dxfId="429" priority="22" stopIfTrue="1" operator="notEqual">
      <formula>$J$100</formula>
    </cfRule>
  </conditionalFormatting>
  <conditionalFormatting sqref="A102:C102">
    <cfRule type="cellIs" dxfId="428" priority="21" stopIfTrue="1" operator="notEqual">
      <formula>$I$102</formula>
    </cfRule>
  </conditionalFormatting>
  <conditionalFormatting sqref="A104:C104">
    <cfRule type="cellIs" dxfId="427" priority="20" stopIfTrue="1" operator="notEqual">
      <formula>$I$104</formula>
    </cfRule>
  </conditionalFormatting>
  <conditionalFormatting sqref="A106:C106">
    <cfRule type="cellIs" dxfId="426" priority="19" stopIfTrue="1" operator="notEqual">
      <formula>$I$106</formula>
    </cfRule>
  </conditionalFormatting>
  <conditionalFormatting sqref="A108:E108">
    <cfRule type="cellIs" dxfId="425" priority="18" stopIfTrue="1" operator="notEqual">
      <formula>$I$108</formula>
    </cfRule>
  </conditionalFormatting>
  <conditionalFormatting sqref="A93:B93">
    <cfRule type="cellIs" dxfId="424" priority="16" stopIfTrue="1" operator="notEqual">
      <formula>$I$93</formula>
    </cfRule>
  </conditionalFormatting>
  <conditionalFormatting sqref="E11:F14">
    <cfRule type="cellIs" dxfId="423" priority="15" stopIfTrue="1" operator="equal">
      <formula>$K$11</formula>
    </cfRule>
  </conditionalFormatting>
  <conditionalFormatting sqref="A81:B81">
    <cfRule type="cellIs" dxfId="422" priority="14" stopIfTrue="1" operator="notEqual">
      <formula>$I$81</formula>
    </cfRule>
  </conditionalFormatting>
  <conditionalFormatting sqref="A91:B91">
    <cfRule type="cellIs" dxfId="421" priority="13" stopIfTrue="1" operator="notEqual">
      <formula>$I$91</formula>
    </cfRule>
  </conditionalFormatting>
  <conditionalFormatting sqref="A5:B5">
    <cfRule type="cellIs" dxfId="420" priority="12" stopIfTrue="1" operator="notEqual">
      <formula>$I$5</formula>
    </cfRule>
  </conditionalFormatting>
  <conditionalFormatting sqref="A7:B7">
    <cfRule type="cellIs" dxfId="419" priority="11" stopIfTrue="1" operator="notEqual">
      <formula>$I$7</formula>
    </cfRule>
  </conditionalFormatting>
  <conditionalFormatting sqref="A9:B9">
    <cfRule type="cellIs" dxfId="418" priority="10" stopIfTrue="1" operator="notEqual">
      <formula>$I$9</formula>
    </cfRule>
  </conditionalFormatting>
  <conditionalFormatting sqref="A19:B19">
    <cfRule type="cellIs" dxfId="417" priority="9" stopIfTrue="1" operator="notEqual">
      <formula>$I$19</formula>
    </cfRule>
  </conditionalFormatting>
  <conditionalFormatting sqref="A21:B21">
    <cfRule type="cellIs" dxfId="416" priority="8" stopIfTrue="1" operator="notEqual">
      <formula>$I$21</formula>
    </cfRule>
  </conditionalFormatting>
  <conditionalFormatting sqref="A11:B11">
    <cfRule type="cellIs" dxfId="415" priority="7" stopIfTrue="1" operator="notEqual">
      <formula>$I$11</formula>
    </cfRule>
  </conditionalFormatting>
  <conditionalFormatting sqref="A13:B13">
    <cfRule type="cellIs" dxfId="414" priority="6" stopIfTrue="1" operator="notEqual">
      <formula>$I$13</formula>
    </cfRule>
  </conditionalFormatting>
  <conditionalFormatting sqref="A39:B39">
    <cfRule type="cellIs" dxfId="413" priority="5" stopIfTrue="1" operator="notEqual">
      <formula>$I$39</formula>
    </cfRule>
  </conditionalFormatting>
  <conditionalFormatting sqref="A41:B41">
    <cfRule type="cellIs" dxfId="412" priority="4" stopIfTrue="1" operator="notEqual">
      <formula>$I$41</formula>
    </cfRule>
  </conditionalFormatting>
  <conditionalFormatting sqref="C41:D41">
    <cfRule type="cellIs" dxfId="411" priority="3" stopIfTrue="1" operator="notEqual">
      <formula>$H$39</formula>
    </cfRule>
  </conditionalFormatting>
  <conditionalFormatting sqref="C57:D57">
    <cfRule type="cellIs" dxfId="410" priority="2" stopIfTrue="1" operator="notEqual">
      <formula>$H$55</formula>
    </cfRule>
  </conditionalFormatting>
  <conditionalFormatting sqref="C72:D72">
    <cfRule type="cellIs" dxfId="409" priority="1" stopIfTrue="1" operator="notEqual">
      <formula>$H$70</formula>
    </cfRule>
  </conditionalFormatting>
  <dataValidations count="32">
    <dataValidation type="decimal" allowBlank="1" showInputMessage="1" showErrorMessage="1" sqref="F108">
      <formula1>0</formula1>
      <formula2>500000</formula2>
    </dataValidation>
    <dataValidation type="whole" allowBlank="1" showInputMessage="1" showErrorMessage="1" sqref="C36 C52 C67">
      <formula1>0</formula1>
      <formula2>100000</formula2>
    </dataValidation>
    <dataValidation type="textLength" operator="lessThan" allowBlank="1" showInputMessage="1" showErrorMessage="1" sqref="C43:F44">
      <formula1>40</formula1>
    </dataValidation>
    <dataValidation type="textLength" operator="lessThan" allowBlank="1" showInputMessage="1" showErrorMessage="1" sqref="C28:D28">
      <formula1>25</formula1>
    </dataValidation>
    <dataValidation type="textLength" operator="lessThan" allowBlank="1" showInputMessage="1" showErrorMessage="1" sqref="C19:F19">
      <formula1>150</formula1>
    </dataValidation>
    <dataValidation type="whole" allowBlank="1" showInputMessage="1" showErrorMessage="1" sqref="C18">
      <formula1>1000</formula1>
      <formula2>2009</formula2>
    </dataValidation>
    <dataValidation type="list" allowBlank="1" showInputMessage="1" showErrorMessage="1" sqref="C15">
      <formula1>$H$15:$H$16</formula1>
    </dataValidation>
    <dataValidation type="textLength" allowBlank="1" showInputMessage="1" showErrorMessage="1" sqref="C6:F6 C8:F8">
      <formula1>6</formula1>
      <formula2>150</formula2>
    </dataValidation>
    <dataValidation type="list" allowBlank="1" showInputMessage="1" showErrorMessage="1" sqref="C55 C39">
      <formula1>$G$1:$G$2</formula1>
    </dataValidation>
    <dataValidation type="textLength" allowBlank="1" showInputMessage="1" showErrorMessage="1" sqref="C32:E32 C48:E48 C63:E63">
      <formula1>1</formula1>
      <formula2>100</formula2>
    </dataValidation>
    <dataValidation type="textLength" allowBlank="1" showInputMessage="1" showErrorMessage="1" sqref="E34:E37 E59 E73:E76 E50:E53 E85:E86 E42 E65:E68">
      <formula1>2</formula1>
      <formula2>50</formula2>
    </dataValidation>
    <dataValidation type="whole" operator="equal" allowBlank="1" showInputMessage="1" showErrorMessage="1" sqref="C37 C85:C86 C73:C76 C53 C58:C59 C42 C68">
      <formula1>4</formula1>
    </dataValidation>
    <dataValidation type="textLength" allowBlank="1" showInputMessage="1" showErrorMessage="1" sqref="C49:E49 C33:E33 C64:E64">
      <formula1>4</formula1>
      <formula2>100</formula2>
    </dataValidation>
    <dataValidation type="textLength" allowBlank="1" showInputMessage="1" showErrorMessage="1" sqref="E78 C9:F9 E88 C80 C90">
      <formula1>1</formula1>
      <formula2>20</formula2>
    </dataValidation>
    <dataValidation type="textLength" allowBlank="1" showInputMessage="1" showErrorMessage="1" sqref="E80 E90">
      <formula1>1</formula1>
      <formula2>30</formula2>
    </dataValidation>
    <dataValidation type="textLength" allowBlank="1" showInputMessage="1" showErrorMessage="1" sqref="C54:F54 C10:F10 C38:F38 C69:F69">
      <formula1>3</formula1>
      <formula2>50</formula2>
    </dataValidation>
    <dataValidation type="whole" allowBlank="1" showInputMessage="1" showErrorMessage="1" sqref="C51 C35 C66">
      <formula1>1000</formula1>
      <formula2>9999</formula2>
    </dataValidation>
    <dataValidation type="decimal" allowBlank="1" showInputMessage="1" showErrorMessage="1" sqref="C100">
      <formula1>0.1</formula1>
      <formula2>99999999</formula2>
    </dataValidation>
    <dataValidation type="whole" allowBlank="1" showInputMessage="1" showErrorMessage="1" sqref="C50 C34">
      <formula1>1000</formula1>
      <formula2>99999</formula2>
    </dataValidation>
    <dataValidation type="textLength" operator="lessThanOrEqual" allowBlank="1" showInputMessage="1" showErrorMessage="1" sqref="C27:D27 C23:D23 C25:D25">
      <formula1>25</formula1>
    </dataValidation>
    <dataValidation type="list" allowBlank="1" showInputMessage="1" showErrorMessage="1" sqref="F100">
      <formula1>$G$100:$G$103</formula1>
    </dataValidation>
    <dataValidation type="list" allowBlank="1" showInputMessage="1" showErrorMessage="1" sqref="E98">
      <formula1>$G$96:$G$98</formula1>
    </dataValidation>
    <dataValidation type="list" allowBlank="1" showInputMessage="1" showErrorMessage="1" sqref="C72:D72">
      <formula1>$H$62:$H$69</formula1>
    </dataValidation>
    <dataValidation type="list" allowBlank="1" showInputMessage="1" showErrorMessage="1" sqref="C70">
      <formula1>$G$59:$G$61</formula1>
    </dataValidation>
    <dataValidation type="list" allowBlank="1" showInputMessage="1" showErrorMessage="1" sqref="C41:D41">
      <formula1>$H$30:$H$38</formula1>
    </dataValidation>
    <dataValidation type="list" allowBlank="1" showInputMessage="1" showErrorMessage="1" sqref="C77 C87">
      <formula1>$H$12:$H$13</formula1>
    </dataValidation>
    <dataValidation type="list" allowBlank="1" showInputMessage="1" showErrorMessage="1" sqref="C21:F21">
      <formula1>$J$2:$J$11</formula1>
    </dataValidation>
    <dataValidation type="textLength" allowBlank="1" showInputMessage="1" showErrorMessage="1" sqref="C5:F5 C7:F7">
      <formula1>1</formula1>
      <formula2>150</formula2>
    </dataValidation>
    <dataValidation type="list" allowBlank="1" showInputMessage="1" showErrorMessage="1" sqref="C57:D57">
      <formula1>$H$46:$H$54</formula1>
    </dataValidation>
    <dataValidation type="whole" allowBlank="1" showInputMessage="1" showErrorMessage="1" sqref="C65">
      <formula1>0</formula1>
      <formula2>99999</formula2>
    </dataValidation>
    <dataValidation type="textLength" operator="lessThanOrEqual" allowBlank="1" showInputMessage="1" showErrorMessage="1" sqref="C17">
      <formula1>15</formula1>
    </dataValidation>
    <dataValidation type="textLength" operator="lessThanOrEqual" allowBlank="1" showInputMessage="1" showErrorMessage="1" sqref="E77 C79 E79 E87 E89 C89">
      <formula1>30</formula1>
    </dataValidation>
  </dataValidations>
  <pageMargins left="0.98425196850393704" right="0.39370078740157483" top="0.74803149606299213" bottom="0.74803149606299213" header="0.31496062992125984" footer="0.31496062992125984"/>
  <pageSetup orientation="landscape" horizontalDpi="300" verticalDpi="300"/>
  <headerFooter>
    <oddFooter xml:space="preserve">&amp;C&amp;"Arial,Italic"&amp;8&amp;A&amp;R&amp;"Arial,Italic"&amp;8Page &amp;P of &amp;N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topLeftCell="A2" workbookViewId="0">
      <selection activeCell="C5" sqref="C5:F5"/>
    </sheetView>
  </sheetViews>
  <sheetFormatPr defaultColWidth="9.140625" defaultRowHeight="12.75" x14ac:dyDescent="0.2"/>
  <cols>
    <col min="1" max="2" width="14.85546875" style="3" customWidth="1"/>
    <col min="3" max="3" width="18.85546875" style="3" customWidth="1"/>
    <col min="4" max="4" width="10.7109375" style="3" customWidth="1"/>
    <col min="5" max="5" width="18.85546875" style="3" customWidth="1"/>
    <col min="6" max="6" width="12.140625" style="3" customWidth="1"/>
    <col min="7" max="7" width="24.140625" style="3" hidden="1" customWidth="1"/>
    <col min="8" max="8" width="18" style="3" hidden="1" customWidth="1"/>
    <col min="9" max="9" width="9.140625" style="3" hidden="1" customWidth="1"/>
    <col min="10" max="10" width="12.42578125" style="3" hidden="1" customWidth="1"/>
    <col min="11" max="14" width="9.140625" style="3" hidden="1" customWidth="1"/>
    <col min="15" max="16384" width="9.140625" style="3"/>
  </cols>
  <sheetData>
    <row r="1" spans="1:15" ht="6.75" hidden="1" customHeight="1" x14ac:dyDescent="0.2">
      <c r="G1" s="7" t="s">
        <v>102</v>
      </c>
      <c r="H1" s="3">
        <f>IF($C$11="Hungary",1,IF($C$11="Croatia",2,0))</f>
        <v>0</v>
      </c>
      <c r="J1" s="567" t="s">
        <v>44</v>
      </c>
      <c r="K1" s="677"/>
    </row>
    <row r="2" spans="1:15" ht="15.75" x14ac:dyDescent="0.25">
      <c r="A2" s="560" t="s">
        <v>349</v>
      </c>
      <c r="B2" s="561"/>
      <c r="C2" s="561"/>
      <c r="D2" s="561"/>
      <c r="E2" s="561"/>
      <c r="F2" s="561"/>
      <c r="G2" s="7" t="s">
        <v>103</v>
      </c>
      <c r="J2" t="s">
        <v>228</v>
      </c>
    </row>
    <row r="3" spans="1:15" ht="11.25" customHeight="1" x14ac:dyDescent="0.2">
      <c r="A3" s="14"/>
      <c r="G3" s="3" t="s">
        <v>104</v>
      </c>
      <c r="H3" s="3" t="str">
        <f>IF($H$1=1,G3,IF($H$1=2,G6,"-"))</f>
        <v>-</v>
      </c>
      <c r="J3" t="s">
        <v>229</v>
      </c>
    </row>
    <row r="4" spans="1:15" ht="15" x14ac:dyDescent="0.25">
      <c r="A4" s="19" t="s">
        <v>353</v>
      </c>
      <c r="G4" s="3" t="s">
        <v>105</v>
      </c>
      <c r="H4" s="3" t="str">
        <f>IF($H$1=1,G4,IF($H$1=2,G7,"-"))</f>
        <v>-</v>
      </c>
      <c r="J4" s="3" t="s">
        <v>232</v>
      </c>
    </row>
    <row r="5" spans="1:15" ht="46.5" customHeight="1" x14ac:dyDescent="0.2">
      <c r="A5" s="567" t="s">
        <v>181</v>
      </c>
      <c r="B5" s="571"/>
      <c r="C5" s="698"/>
      <c r="D5" s="689"/>
      <c r="E5" s="689"/>
      <c r="F5" s="690"/>
      <c r="G5" s="3" t="s">
        <v>106</v>
      </c>
      <c r="H5" s="3" t="str">
        <f>IF($H$1=1,G5,IF($H$1=2,G8,"-"))</f>
        <v>-</v>
      </c>
      <c r="I5" s="2" t="b">
        <f>IF(C5="",FALSE,A5)</f>
        <v>0</v>
      </c>
      <c r="J5" t="s">
        <v>230</v>
      </c>
    </row>
    <row r="6" spans="1:15" ht="6" customHeight="1" x14ac:dyDescent="0.2">
      <c r="A6" s="15"/>
      <c r="B6" s="12"/>
      <c r="C6" s="12"/>
      <c r="D6" s="12"/>
      <c r="E6" s="12"/>
      <c r="F6" s="12"/>
      <c r="G6" s="20" t="s">
        <v>107</v>
      </c>
      <c r="H6" s="3" t="str">
        <f>IF($H$1=1,"-",IF($H$1=2,G9,"-"))</f>
        <v>-</v>
      </c>
      <c r="J6" t="s">
        <v>153</v>
      </c>
    </row>
    <row r="7" spans="1:15" ht="46.5" customHeight="1" x14ac:dyDescent="0.2">
      <c r="A7" s="567" t="s">
        <v>163</v>
      </c>
      <c r="B7" s="667"/>
      <c r="C7" s="698"/>
      <c r="D7" s="689"/>
      <c r="E7" s="689"/>
      <c r="F7" s="690"/>
      <c r="G7" s="20" t="s">
        <v>108</v>
      </c>
      <c r="H7" s="3" t="str">
        <f>IF($H$1=1,"-",IF($H$1=2,G10,"-"))</f>
        <v>-</v>
      </c>
      <c r="I7" s="2" t="b">
        <f>IF(C7="",FALSE,A7)</f>
        <v>0</v>
      </c>
      <c r="J7" t="s">
        <v>231</v>
      </c>
    </row>
    <row r="8" spans="1:15" ht="6" customHeight="1" x14ac:dyDescent="0.2">
      <c r="A8" s="15"/>
      <c r="B8" s="12"/>
      <c r="C8" s="12"/>
      <c r="D8" s="12"/>
      <c r="E8" s="12"/>
      <c r="F8" s="12"/>
      <c r="G8" s="20" t="s">
        <v>109</v>
      </c>
      <c r="H8" s="3" t="str">
        <f>IF($H$1=1,"-",IF($H$1=2,G11,"-"))</f>
        <v>-</v>
      </c>
      <c r="J8" t="s">
        <v>156</v>
      </c>
    </row>
    <row r="9" spans="1:15" ht="25.5" customHeight="1" x14ac:dyDescent="0.2">
      <c r="A9" s="567" t="s">
        <v>180</v>
      </c>
      <c r="B9" s="571"/>
      <c r="C9" s="700"/>
      <c r="D9" s="695"/>
      <c r="E9" s="695"/>
      <c r="F9" s="696"/>
      <c r="G9" s="20" t="s">
        <v>110</v>
      </c>
      <c r="H9" s="3" t="str">
        <f>IF($H$1=1,"-",IF($H$1=2,G12,"-"))</f>
        <v>-</v>
      </c>
      <c r="I9" s="2" t="b">
        <f>IF(C9="",FALSE,A9)</f>
        <v>0</v>
      </c>
      <c r="J9" t="s">
        <v>160</v>
      </c>
      <c r="O9" s="151"/>
    </row>
    <row r="10" spans="1:15" ht="6" customHeight="1" thickBot="1" x14ac:dyDescent="0.25">
      <c r="A10" s="15"/>
      <c r="B10" s="12"/>
      <c r="C10" s="12"/>
      <c r="D10" s="12"/>
      <c r="E10" s="12"/>
      <c r="F10" s="12"/>
      <c r="G10" s="20" t="s">
        <v>111</v>
      </c>
      <c r="H10" s="3" t="str">
        <f>IF($H$1=1,"-",IF($H$1=2,G13,"-"))</f>
        <v>-</v>
      </c>
      <c r="J10" t="s">
        <v>154</v>
      </c>
    </row>
    <row r="11" spans="1:15" ht="12.75" customHeight="1" thickBot="1" x14ac:dyDescent="0.25">
      <c r="A11" s="567" t="s">
        <v>61</v>
      </c>
      <c r="B11" s="677"/>
      <c r="C11" s="209" t="str">
        <f>IF(OR(C13=G3,C13=G4,C13=G5),G1,IF(LEN(C13)&gt;5,G2,IF(LEN(C13)=5,C39,"")))</f>
        <v/>
      </c>
      <c r="D11" s="31"/>
      <c r="E11" s="684" t="s">
        <v>348</v>
      </c>
      <c r="F11" s="685"/>
      <c r="G11" s="20" t="s">
        <v>113</v>
      </c>
      <c r="I11" s="2" t="b">
        <f>IF(C11="",FALSE,A11)</f>
        <v>0</v>
      </c>
      <c r="J11" t="s">
        <v>155</v>
      </c>
      <c r="K11" s="168" t="str">
        <f>IF(AND(LEN(C13)&gt;5,OR(C13=G3,C13=G4,C13=G5,C13=G6,C13=G7,C13=G8,C13=G9,C13=G10,C13=G11,C13=G12,C13=G13)),"",IF(C13="","",E11))</f>
        <v/>
      </c>
      <c r="L11" s="168" t="str">
        <f>IF(AND(LEN(C13)&gt;5,OR(C13=G3,C13=G4,C13=G5,C13=G6,C13=G7,C13=G8,C13=G9,C13=G10,C13=G11,C13=G12,C13=G13)),"",IF(C13="","","Lead Beneficiary is not eligible (adjacent or out of the programme area)!"))</f>
        <v/>
      </c>
    </row>
    <row r="12" spans="1:15" ht="6" customHeight="1" x14ac:dyDescent="0.2">
      <c r="A12" s="15"/>
      <c r="B12" s="12"/>
      <c r="C12" s="12"/>
      <c r="D12" s="12"/>
      <c r="E12" s="685"/>
      <c r="F12" s="685"/>
      <c r="G12" s="20" t="s">
        <v>114</v>
      </c>
      <c r="H12" s="3" t="s">
        <v>115</v>
      </c>
      <c r="J12" s="406" t="s">
        <v>401</v>
      </c>
    </row>
    <row r="13" spans="1:15" ht="12.75" customHeight="1" x14ac:dyDescent="0.2">
      <c r="A13" s="567" t="s">
        <v>112</v>
      </c>
      <c r="B13" s="677"/>
      <c r="C13" s="630" t="str">
        <f>IF(AND(ISTEXT(C72),C72&lt;&gt;"-",LEN(C41)&lt;=5,H70=C72),C72,IF(AND(ISTEXT(C41),C41&lt;&gt;"-",H39=C41),C41,""))</f>
        <v/>
      </c>
      <c r="D13" s="639"/>
      <c r="E13" s="685"/>
      <c r="F13" s="685"/>
      <c r="G13" s="20" t="s">
        <v>116</v>
      </c>
      <c r="H13" s="3" t="s">
        <v>117</v>
      </c>
      <c r="I13" s="2" t="b">
        <f>IF(C13="",FALSE,IF(C13="-",FALSE,A13))</f>
        <v>0</v>
      </c>
      <c r="J13" s="406" t="s">
        <v>402</v>
      </c>
      <c r="K13" s="3" t="str">
        <f>IF(AND(ISTEXT(C72),C72&lt;&gt;"-"),C72,IF(AND(ISTEXT(C41),C41&lt;&gt;"-"),C41,""))</f>
        <v/>
      </c>
    </row>
    <row r="14" spans="1:15" ht="6" customHeight="1" x14ac:dyDescent="0.2">
      <c r="A14" s="15"/>
      <c r="B14" s="12"/>
      <c r="C14" s="12"/>
      <c r="D14" s="12"/>
      <c r="E14" s="686"/>
      <c r="F14" s="686"/>
      <c r="G14" s="11" t="s">
        <v>148</v>
      </c>
      <c r="J14" s="1"/>
    </row>
    <row r="15" spans="1:15" ht="12.75" customHeight="1" x14ac:dyDescent="0.2">
      <c r="A15" s="567" t="s">
        <v>43</v>
      </c>
      <c r="B15" s="667"/>
      <c r="C15" s="568"/>
      <c r="D15" s="672"/>
      <c r="G15" s="3">
        <f>IF($C$11="Hungary",1,IF($C$11="Croatia",2,0))</f>
        <v>0</v>
      </c>
      <c r="H15" s="3" t="s">
        <v>1</v>
      </c>
      <c r="I15" s="2" t="b">
        <f>IF(C15="",FALSE,A15)</f>
        <v>0</v>
      </c>
      <c r="J15" s="1"/>
    </row>
    <row r="16" spans="1:15" ht="6" customHeight="1" x14ac:dyDescent="0.2">
      <c r="A16" s="15"/>
      <c r="B16" s="12"/>
      <c r="C16" s="21"/>
      <c r="D16" s="29"/>
      <c r="E16" s="21"/>
      <c r="F16" s="12"/>
      <c r="H16" s="3" t="s">
        <v>2</v>
      </c>
      <c r="J16" s="1"/>
    </row>
    <row r="17" spans="1:9" ht="12.75" customHeight="1" x14ac:dyDescent="0.2">
      <c r="A17" s="567" t="s">
        <v>76</v>
      </c>
      <c r="B17" s="667"/>
      <c r="C17" s="301"/>
      <c r="D17" s="692" t="s">
        <v>0</v>
      </c>
      <c r="E17" s="693"/>
      <c r="I17" s="2" t="b">
        <f>IF(C17="",FALSE,A17)</f>
        <v>0</v>
      </c>
    </row>
    <row r="18" spans="1:9" ht="6" customHeight="1" x14ac:dyDescent="0.2">
      <c r="A18" s="15"/>
      <c r="B18" s="12"/>
      <c r="C18" s="21"/>
      <c r="D18" s="12"/>
      <c r="E18" s="21"/>
      <c r="F18" s="12"/>
    </row>
    <row r="19" spans="1:9" ht="46.5" customHeight="1" x14ac:dyDescent="0.2">
      <c r="A19" s="567" t="s">
        <v>182</v>
      </c>
      <c r="B19" s="667"/>
      <c r="C19" s="698"/>
      <c r="D19" s="689"/>
      <c r="E19" s="689"/>
      <c r="F19" s="690"/>
      <c r="G19" s="30" t="s">
        <v>126</v>
      </c>
      <c r="I19" s="2" t="b">
        <f>IF(C19="",FALSE,A19)</f>
        <v>0</v>
      </c>
    </row>
    <row r="20" spans="1:9" ht="6" customHeight="1" x14ac:dyDescent="0.2">
      <c r="A20" s="15"/>
      <c r="B20" s="12"/>
      <c r="C20" s="21"/>
      <c r="D20" s="12"/>
      <c r="E20" s="21"/>
      <c r="F20" s="12"/>
      <c r="G20" s="30" t="s">
        <v>128</v>
      </c>
    </row>
    <row r="21" spans="1:9" ht="12.75" customHeight="1" x14ac:dyDescent="0.2">
      <c r="A21" s="567" t="s">
        <v>44</v>
      </c>
      <c r="B21" s="677"/>
      <c r="C21" s="568"/>
      <c r="D21" s="691"/>
      <c r="E21" s="691"/>
      <c r="F21" s="582"/>
      <c r="G21" s="30" t="s">
        <v>127</v>
      </c>
      <c r="I21" s="2" t="b">
        <f>IF(C21="",FALSE,A21)</f>
        <v>0</v>
      </c>
    </row>
    <row r="22" spans="1:9" ht="6" customHeight="1" x14ac:dyDescent="0.2">
      <c r="A22" s="15"/>
      <c r="B22" s="12"/>
      <c r="C22" s="21"/>
      <c r="D22" s="12"/>
      <c r="E22" s="21"/>
      <c r="F22" s="12"/>
    </row>
    <row r="23" spans="1:9" ht="12.75" customHeight="1" x14ac:dyDescent="0.2">
      <c r="A23" s="567" t="s">
        <v>66</v>
      </c>
      <c r="B23" s="667"/>
      <c r="C23" s="700"/>
      <c r="D23" s="688"/>
      <c r="E23" s="694" t="s">
        <v>159</v>
      </c>
      <c r="F23" s="619"/>
      <c r="I23" s="2" t="b">
        <f>IF(C23="",FALSE,A23)</f>
        <v>0</v>
      </c>
    </row>
    <row r="24" spans="1:9" ht="6" customHeight="1" x14ac:dyDescent="0.2">
      <c r="A24" s="15"/>
      <c r="B24" s="12"/>
      <c r="C24" s="21"/>
      <c r="D24" s="12"/>
      <c r="E24" s="21"/>
      <c r="F24" s="12"/>
    </row>
    <row r="25" spans="1:9" ht="12.75" customHeight="1" x14ac:dyDescent="0.2">
      <c r="A25" s="567" t="s">
        <v>334</v>
      </c>
      <c r="B25" s="667"/>
      <c r="C25" s="700"/>
      <c r="D25" s="688"/>
      <c r="I25" s="2" t="b">
        <f>IF(C25="",FALSE,A25)</f>
        <v>0</v>
      </c>
    </row>
    <row r="26" spans="1:9" ht="6" customHeight="1" x14ac:dyDescent="0.2">
      <c r="A26" s="15"/>
      <c r="B26" s="12"/>
      <c r="C26" s="21"/>
      <c r="D26" s="12"/>
      <c r="E26" s="21"/>
      <c r="F26" s="12"/>
    </row>
    <row r="27" spans="1:9" ht="12.75" customHeight="1" x14ac:dyDescent="0.2">
      <c r="A27" s="567" t="s">
        <v>65</v>
      </c>
      <c r="B27" s="667"/>
      <c r="C27" s="700"/>
      <c r="D27" s="688"/>
      <c r="I27" s="2" t="b">
        <f>IF(C27="",FALSE,A27)</f>
        <v>0</v>
      </c>
    </row>
    <row r="28" spans="1:9" ht="3" customHeight="1" x14ac:dyDescent="0.2">
      <c r="A28" s="15"/>
      <c r="B28" s="15"/>
      <c r="C28" s="31"/>
      <c r="D28" s="33"/>
      <c r="I28" s="2"/>
    </row>
    <row r="29" spans="1:9" ht="10.5" customHeight="1" x14ac:dyDescent="0.2">
      <c r="A29" s="15"/>
      <c r="B29" s="12"/>
      <c r="C29" s="21"/>
      <c r="D29" s="12"/>
      <c r="E29" s="21"/>
      <c r="F29" s="12"/>
      <c r="G29" s="7" t="s">
        <v>102</v>
      </c>
      <c r="H29" s="3">
        <f>IF($C$39="Hungary",1,IF($C$39="Croatia",2,0))</f>
        <v>0</v>
      </c>
    </row>
    <row r="30" spans="1:9" ht="19.5" customHeight="1" x14ac:dyDescent="0.2">
      <c r="A30" s="663" t="s">
        <v>75</v>
      </c>
      <c r="B30" s="682"/>
      <c r="C30" s="683"/>
      <c r="D30" s="683"/>
      <c r="E30" s="21"/>
      <c r="F30" s="12"/>
      <c r="G30" s="7" t="s">
        <v>103</v>
      </c>
      <c r="H30" s="3" t="s">
        <v>157</v>
      </c>
    </row>
    <row r="31" spans="1:9" ht="6" customHeight="1" x14ac:dyDescent="0.2">
      <c r="A31" s="15"/>
      <c r="B31" s="12"/>
      <c r="C31" s="21"/>
      <c r="D31" s="12"/>
      <c r="E31" s="21"/>
      <c r="F31" s="12"/>
      <c r="G31" s="3" t="s">
        <v>104</v>
      </c>
      <c r="H31" s="3" t="str">
        <f>IF($H$29=1,G31,IF($H$29=2,G34,"-"))</f>
        <v>-</v>
      </c>
    </row>
    <row r="32" spans="1:9" ht="25.5" customHeight="1" x14ac:dyDescent="0.2">
      <c r="A32" s="567" t="s">
        <v>118</v>
      </c>
      <c r="B32" s="567"/>
      <c r="C32" s="698"/>
      <c r="D32" s="680"/>
      <c r="E32" s="681"/>
      <c r="F32" s="12" t="s">
        <v>119</v>
      </c>
      <c r="G32" s="3" t="s">
        <v>105</v>
      </c>
      <c r="H32" s="3" t="str">
        <f>IF($H$29=1,G32,IF($H$29=2,G35,"-"))</f>
        <v>-</v>
      </c>
      <c r="I32" s="2">
        <f>IF(AND(C32&lt;&gt;"",C34&lt;&gt;"",E34&lt;&gt;"")=TRUE,A32,0)</f>
        <v>0</v>
      </c>
    </row>
    <row r="33" spans="1:9" ht="6" customHeight="1" x14ac:dyDescent="0.2">
      <c r="A33" s="567"/>
      <c r="B33" s="567"/>
      <c r="C33" s="12"/>
      <c r="D33" s="22"/>
      <c r="E33" s="22"/>
      <c r="F33" s="12"/>
      <c r="G33" s="3" t="s">
        <v>106</v>
      </c>
      <c r="H33" s="3" t="str">
        <f>IF($H$29=1,G33,IF($H$29=2,G36,"-"))</f>
        <v>-</v>
      </c>
    </row>
    <row r="34" spans="1:9" ht="25.5" x14ac:dyDescent="0.2">
      <c r="A34" s="567"/>
      <c r="B34" s="567"/>
      <c r="C34" s="23"/>
      <c r="D34" s="12" t="s">
        <v>46</v>
      </c>
      <c r="E34" s="24"/>
      <c r="F34" s="12" t="s">
        <v>45</v>
      </c>
      <c r="G34" s="20" t="s">
        <v>107</v>
      </c>
      <c r="H34" s="3" t="str">
        <f>IF($H$29=1,"-",IF($H$29=2,G37,"-"))</f>
        <v>-</v>
      </c>
    </row>
    <row r="35" spans="1:9" ht="6" customHeight="1" x14ac:dyDescent="0.2">
      <c r="A35" s="15"/>
      <c r="B35" s="15"/>
      <c r="C35" s="31"/>
      <c r="D35" s="12"/>
      <c r="E35" s="32"/>
      <c r="F35" s="12"/>
      <c r="G35" s="20" t="s">
        <v>108</v>
      </c>
      <c r="H35" s="3" t="str">
        <f>IF($H$29=1,"-",IF($H$29=2,G38,"-"))</f>
        <v>-</v>
      </c>
    </row>
    <row r="36" spans="1:9" ht="12.75" customHeight="1" x14ac:dyDescent="0.2">
      <c r="A36" s="15"/>
      <c r="B36" s="15"/>
      <c r="C36" s="23"/>
      <c r="D36" s="12" t="s">
        <v>129</v>
      </c>
      <c r="E36" s="32"/>
      <c r="F36" s="12"/>
      <c r="G36" s="20" t="s">
        <v>109</v>
      </c>
      <c r="H36" s="3" t="str">
        <f>IF($H$29=1,"-",IF($H$29=2,G39,"-"))</f>
        <v>-</v>
      </c>
    </row>
    <row r="37" spans="1:9" ht="6" customHeight="1" x14ac:dyDescent="0.2">
      <c r="A37" s="18"/>
      <c r="B37" s="18"/>
      <c r="C37" s="12"/>
      <c r="D37" s="12"/>
      <c r="E37" s="25"/>
      <c r="F37" s="12"/>
      <c r="G37" s="20" t="s">
        <v>110</v>
      </c>
      <c r="H37" s="3" t="str">
        <f>IF($H$29=1,"-",IF($H$29=2,G40,"-"))</f>
        <v>-</v>
      </c>
    </row>
    <row r="38" spans="1:9" ht="6" customHeight="1" x14ac:dyDescent="0.2">
      <c r="A38" s="15"/>
      <c r="B38" s="12"/>
      <c r="C38" s="12"/>
      <c r="D38" s="12"/>
      <c r="E38" s="12"/>
      <c r="F38" s="12"/>
      <c r="G38" s="20" t="s">
        <v>111</v>
      </c>
      <c r="H38" s="3" t="str">
        <f>IF($H$29=1,"-",IF($H$29=2,G41,"-"))</f>
        <v>-</v>
      </c>
    </row>
    <row r="39" spans="1:9" ht="12.75" customHeight="1" x14ac:dyDescent="0.2">
      <c r="A39" s="567" t="s">
        <v>61</v>
      </c>
      <c r="B39" s="677"/>
      <c r="C39" s="65"/>
      <c r="D39" s="31"/>
      <c r="E39" s="31"/>
      <c r="F39" s="31"/>
      <c r="G39" s="20" t="s">
        <v>113</v>
      </c>
      <c r="H39" s="219">
        <f>IF(OR(LEN(C41)=LEN(H30),LEN(C41)=LEN(H31),LEN(C41)=LEN(H32),LEN(C41)=LEN(H33),LEN(C41)=LEN(H34),LEN(C41)=LEN(H35),LEN(C41)=LEN(H36),LEN(C41)=LEN(H37),LEN(C41)=LEN(H38)),C41,0)</f>
        <v>0</v>
      </c>
      <c r="I39" s="2" t="b">
        <f>IF(C39="",FALSE,A39)</f>
        <v>0</v>
      </c>
    </row>
    <row r="40" spans="1:9" ht="6" customHeight="1" x14ac:dyDescent="0.2">
      <c r="A40" s="15"/>
      <c r="B40" s="12"/>
      <c r="C40" s="12"/>
      <c r="D40" s="12"/>
      <c r="E40" s="12"/>
      <c r="F40" s="12"/>
      <c r="G40" s="20" t="s">
        <v>114</v>
      </c>
      <c r="H40" s="3" t="s">
        <v>115</v>
      </c>
    </row>
    <row r="41" spans="1:9" ht="12.75" customHeight="1" x14ac:dyDescent="0.2">
      <c r="A41" s="567" t="s">
        <v>112</v>
      </c>
      <c r="B41" s="677"/>
      <c r="C41" s="568"/>
      <c r="D41" s="672"/>
      <c r="F41" s="31"/>
      <c r="G41" s="20" t="s">
        <v>116</v>
      </c>
      <c r="H41" s="3" t="s">
        <v>117</v>
      </c>
      <c r="I41" s="220" t="b">
        <f>IF(C41="",FALSE,IF(C41="-",FALSE,IF(H39&lt;&gt;C41,FALSE,A41)))</f>
        <v>0</v>
      </c>
    </row>
    <row r="42" spans="1:9" ht="6" customHeight="1" x14ac:dyDescent="0.2">
      <c r="A42" s="18"/>
      <c r="B42" s="18"/>
      <c r="C42" s="12"/>
      <c r="D42" s="12"/>
      <c r="E42" s="25"/>
      <c r="F42" s="12"/>
      <c r="G42" s="11" t="e">
        <f>MID(#REF!,1,1)</f>
        <v>#REF!</v>
      </c>
    </row>
    <row r="43" spans="1:9" ht="12.75" customHeight="1" x14ac:dyDescent="0.2">
      <c r="A43" s="567" t="s">
        <v>47</v>
      </c>
      <c r="B43" s="571"/>
      <c r="C43" s="699"/>
      <c r="D43" s="573"/>
      <c r="E43" s="573"/>
      <c r="F43" s="574"/>
      <c r="G43" s="7"/>
      <c r="I43" s="2" t="b">
        <f>IF(C43="",FALSE,IF(C43="-",FALSE,A43))</f>
        <v>0</v>
      </c>
    </row>
    <row r="44" spans="1:9" x14ac:dyDescent="0.2">
      <c r="A44" s="15"/>
      <c r="B44" s="12"/>
      <c r="C44" s="35"/>
      <c r="D44" s="34"/>
      <c r="E44" s="34"/>
      <c r="F44" s="34"/>
      <c r="G44" s="7"/>
      <c r="I44" s="2"/>
    </row>
    <row r="45" spans="1:9" ht="10.5" customHeight="1" x14ac:dyDescent="0.2">
      <c r="A45" s="15"/>
      <c r="B45" s="12"/>
      <c r="C45" s="21"/>
      <c r="D45" s="12"/>
      <c r="E45" s="21"/>
      <c r="F45" s="12"/>
      <c r="G45" s="7" t="s">
        <v>102</v>
      </c>
      <c r="H45" s="3">
        <f>IF($C$55="Hungary",1,IF($C$55="Croatia",2,0))</f>
        <v>0</v>
      </c>
    </row>
    <row r="46" spans="1:9" ht="19.5" customHeight="1" x14ac:dyDescent="0.2">
      <c r="A46" s="674" t="s">
        <v>131</v>
      </c>
      <c r="B46" s="675"/>
      <c r="C46" s="676"/>
      <c r="D46" s="676"/>
      <c r="E46" s="21"/>
      <c r="F46" s="12"/>
      <c r="G46" s="7" t="s">
        <v>103</v>
      </c>
      <c r="H46" s="3" t="s">
        <v>157</v>
      </c>
    </row>
    <row r="47" spans="1:9" ht="6" customHeight="1" x14ac:dyDescent="0.2">
      <c r="A47" s="15"/>
      <c r="B47" s="12"/>
      <c r="C47" s="21"/>
      <c r="D47" s="12"/>
      <c r="E47" s="21"/>
      <c r="F47" s="12"/>
      <c r="G47" s="3" t="s">
        <v>104</v>
      </c>
      <c r="H47" s="3" t="str">
        <f>IF($H$45=1,G47,IF($H$45=2,G50,"-"))</f>
        <v>-</v>
      </c>
    </row>
    <row r="48" spans="1:9" ht="25.5" customHeight="1" x14ac:dyDescent="0.2">
      <c r="A48" s="567" t="s">
        <v>118</v>
      </c>
      <c r="B48" s="567"/>
      <c r="C48" s="698"/>
      <c r="D48" s="680"/>
      <c r="E48" s="681"/>
      <c r="F48" s="12" t="s">
        <v>119</v>
      </c>
      <c r="G48" s="3" t="s">
        <v>105</v>
      </c>
      <c r="H48" s="3" t="str">
        <f>IF($H$45=1,G48,IF($H$45=2,G51,"-"))</f>
        <v>-</v>
      </c>
      <c r="I48" s="2">
        <f>IF(AND(C48&lt;&gt;"",C50&lt;&gt;"",E50&lt;&gt;"")=TRUE,A48,0)</f>
        <v>0</v>
      </c>
    </row>
    <row r="49" spans="1:9" ht="6" customHeight="1" x14ac:dyDescent="0.2">
      <c r="A49" s="567"/>
      <c r="B49" s="567"/>
      <c r="C49" s="12"/>
      <c r="D49" s="22"/>
      <c r="E49" s="22"/>
      <c r="F49" s="12"/>
      <c r="G49" s="3" t="s">
        <v>106</v>
      </c>
      <c r="H49" s="3" t="str">
        <f>IF($H$45=1,G49,IF($H$45=2,G52,"-"))</f>
        <v>-</v>
      </c>
    </row>
    <row r="50" spans="1:9" ht="25.5" x14ac:dyDescent="0.2">
      <c r="A50" s="567"/>
      <c r="B50" s="567"/>
      <c r="C50" s="23"/>
      <c r="D50" s="12" t="s">
        <v>46</v>
      </c>
      <c r="E50" s="24"/>
      <c r="F50" s="12" t="s">
        <v>45</v>
      </c>
      <c r="G50" s="20" t="s">
        <v>107</v>
      </c>
      <c r="H50" s="3" t="str">
        <f>IF($H$45=1,"-",IF($H$45=2,G53,"-"))</f>
        <v>-</v>
      </c>
    </row>
    <row r="51" spans="1:9" ht="6" customHeight="1" x14ac:dyDescent="0.2">
      <c r="A51" s="15"/>
      <c r="B51" s="15"/>
      <c r="C51" s="31"/>
      <c r="D51" s="12"/>
      <c r="E51" s="32"/>
      <c r="F51" s="12"/>
      <c r="G51" s="20" t="s">
        <v>108</v>
      </c>
      <c r="H51" s="3" t="str">
        <f>IF($H$45=1,"-",IF($H$45=2,G54,"-"))</f>
        <v>-</v>
      </c>
    </row>
    <row r="52" spans="1:9" ht="12.75" customHeight="1" x14ac:dyDescent="0.2">
      <c r="A52" s="15"/>
      <c r="B52" s="15"/>
      <c r="C52" s="23"/>
      <c r="D52" s="12" t="s">
        <v>129</v>
      </c>
      <c r="E52" s="32"/>
      <c r="F52" s="12"/>
      <c r="G52" s="20" t="s">
        <v>109</v>
      </c>
      <c r="H52" s="3" t="str">
        <f>IF($H$45=1,"-",IF($H$45=2,G55,"-"))</f>
        <v>-</v>
      </c>
    </row>
    <row r="53" spans="1:9" ht="6" customHeight="1" x14ac:dyDescent="0.2">
      <c r="A53" s="18"/>
      <c r="B53" s="18"/>
      <c r="C53" s="12"/>
      <c r="D53" s="12"/>
      <c r="E53" s="25"/>
      <c r="F53" s="12"/>
      <c r="G53" s="20" t="s">
        <v>110</v>
      </c>
      <c r="H53" s="3" t="str">
        <f>IF($H$45=1,"-",IF($H$45=2,G56,"-"))</f>
        <v>-</v>
      </c>
    </row>
    <row r="54" spans="1:9" ht="6" customHeight="1" x14ac:dyDescent="0.2">
      <c r="A54" s="15"/>
      <c r="B54" s="12"/>
      <c r="C54" s="12"/>
      <c r="D54" s="12"/>
      <c r="E54" s="12"/>
      <c r="F54" s="12"/>
      <c r="G54" s="20" t="s">
        <v>111</v>
      </c>
      <c r="H54" s="3" t="str">
        <f>IF($H$45=1,"-",IF($H$45=2,G57,"-"))</f>
        <v>-</v>
      </c>
    </row>
    <row r="55" spans="1:9" ht="12.75" customHeight="1" x14ac:dyDescent="0.2">
      <c r="A55" s="567" t="s">
        <v>61</v>
      </c>
      <c r="B55" s="677"/>
      <c r="C55" s="65"/>
      <c r="D55" s="31"/>
      <c r="E55" s="31"/>
      <c r="F55" s="31"/>
      <c r="G55" s="20" t="s">
        <v>113</v>
      </c>
      <c r="H55" s="219">
        <f>IF(OR(LEN(C57)=LEN(H46),LEN(C57)=LEN(H47),LEN(C57)=LEN(H48),LEN(C57)=LEN(H49),LEN(C57)=LEN(H50),LEN(C57)=LEN(H51),LEN(C57)=LEN(H52),LEN(C57)=LEN(H53),LEN(C57)=LEN(H54)),C57,0)</f>
        <v>0</v>
      </c>
      <c r="I55" s="2" t="b">
        <f>IF(C55="",FALSE,A55)</f>
        <v>0</v>
      </c>
    </row>
    <row r="56" spans="1:9" ht="6" customHeight="1" x14ac:dyDescent="0.2">
      <c r="A56" s="15"/>
      <c r="B56" s="12"/>
      <c r="C56" s="12"/>
      <c r="D56" s="12"/>
      <c r="E56" s="12"/>
      <c r="F56" s="12"/>
      <c r="G56" s="20" t="s">
        <v>114</v>
      </c>
      <c r="H56" s="3" t="s">
        <v>115</v>
      </c>
    </row>
    <row r="57" spans="1:9" ht="12.75" customHeight="1" x14ac:dyDescent="0.2">
      <c r="A57" s="567" t="s">
        <v>112</v>
      </c>
      <c r="B57" s="677"/>
      <c r="C57" s="568"/>
      <c r="D57" s="672"/>
      <c r="F57" s="31"/>
      <c r="G57" s="20" t="s">
        <v>116</v>
      </c>
      <c r="H57" s="3" t="s">
        <v>117</v>
      </c>
      <c r="I57" s="220" t="b">
        <f>IF(C57="",FALSE,IF(C57="-",FALSE,IF(H55&lt;&gt;C57,FALSE,A57)))</f>
        <v>0</v>
      </c>
    </row>
    <row r="58" spans="1:9" ht="6" customHeight="1" x14ac:dyDescent="0.2">
      <c r="A58" s="18"/>
      <c r="B58" s="18"/>
      <c r="C58" s="12"/>
      <c r="D58" s="12"/>
      <c r="E58" s="25"/>
      <c r="F58" s="12"/>
      <c r="G58" s="11" t="e">
        <f>MID(#REF!,1,1)</f>
        <v>#REF!</v>
      </c>
    </row>
    <row r="59" spans="1:9" ht="15" customHeight="1" x14ac:dyDescent="0.2">
      <c r="A59" s="18"/>
      <c r="B59" s="18"/>
      <c r="C59" s="12"/>
      <c r="D59" s="12"/>
      <c r="E59" s="25"/>
      <c r="F59" s="12"/>
      <c r="G59" s="11" t="s">
        <v>130</v>
      </c>
    </row>
    <row r="60" spans="1:9" ht="10.5" customHeight="1" x14ac:dyDescent="0.2">
      <c r="A60" s="15"/>
      <c r="B60" s="12"/>
      <c r="C60" s="21"/>
      <c r="D60" s="12"/>
      <c r="E60" s="21"/>
      <c r="F60" s="12"/>
      <c r="G60" s="7" t="s">
        <v>102</v>
      </c>
      <c r="H60" s="3">
        <f>IF($C$70="Hungary",1,IF($C$70="Croatia",2,0))</f>
        <v>0</v>
      </c>
    </row>
    <row r="61" spans="1:9" ht="19.5" customHeight="1" x14ac:dyDescent="0.2">
      <c r="A61" s="674" t="s">
        <v>74</v>
      </c>
      <c r="B61" s="675"/>
      <c r="C61" s="676"/>
      <c r="D61" s="676"/>
      <c r="E61" s="21"/>
      <c r="F61" s="12"/>
      <c r="G61" s="7" t="s">
        <v>103</v>
      </c>
    </row>
    <row r="62" spans="1:9" ht="6" customHeight="1" x14ac:dyDescent="0.2">
      <c r="A62" s="15"/>
      <c r="B62" s="12"/>
      <c r="C62" s="21"/>
      <c r="D62" s="12"/>
      <c r="E62" s="21"/>
      <c r="F62" s="12"/>
      <c r="G62" s="3" t="s">
        <v>104</v>
      </c>
      <c r="H62" s="3" t="str">
        <f>IF($H$60=1,G62,IF($H$60=2,G65,"-"))</f>
        <v>-</v>
      </c>
    </row>
    <row r="63" spans="1:9" ht="25.5" customHeight="1" x14ac:dyDescent="0.2">
      <c r="A63" s="567" t="s">
        <v>118</v>
      </c>
      <c r="B63" s="567"/>
      <c r="C63" s="698"/>
      <c r="D63" s="680"/>
      <c r="E63" s="681"/>
      <c r="F63" s="12" t="s">
        <v>119</v>
      </c>
      <c r="G63" s="3" t="s">
        <v>105</v>
      </c>
      <c r="H63" s="3" t="str">
        <f>IF($H$60=1,G63,IF($H$60=2,G66,"-"))</f>
        <v>-</v>
      </c>
      <c r="I63" s="2">
        <f>IF(AND(C63&lt;&gt;"",C65&lt;&gt;"",E65&lt;&gt;"")=TRUE,A63,0)</f>
        <v>0</v>
      </c>
    </row>
    <row r="64" spans="1:9" ht="6" customHeight="1" x14ac:dyDescent="0.2">
      <c r="A64" s="567"/>
      <c r="B64" s="567"/>
      <c r="C64" s="12"/>
      <c r="D64" s="22"/>
      <c r="E64" s="22"/>
      <c r="F64" s="12"/>
      <c r="G64" s="3" t="s">
        <v>106</v>
      </c>
      <c r="H64" s="3" t="str">
        <f>IF($H$60=1,G64,IF($H$60=2,G67,"-"))</f>
        <v>-</v>
      </c>
    </row>
    <row r="65" spans="1:9" ht="25.5" x14ac:dyDescent="0.2">
      <c r="A65" s="567"/>
      <c r="B65" s="567"/>
      <c r="C65" s="23"/>
      <c r="D65" s="12" t="s">
        <v>46</v>
      </c>
      <c r="E65" s="24"/>
      <c r="F65" s="12" t="s">
        <v>45</v>
      </c>
      <c r="G65" s="20" t="s">
        <v>107</v>
      </c>
      <c r="H65" s="3" t="str">
        <f>IF($H$60=1,"-",IF($H$60=2,G68,"-"))</f>
        <v>-</v>
      </c>
    </row>
    <row r="66" spans="1:9" ht="6" customHeight="1" x14ac:dyDescent="0.2">
      <c r="A66" s="15"/>
      <c r="B66" s="15"/>
      <c r="C66" s="31"/>
      <c r="D66" s="12"/>
      <c r="E66" s="32"/>
      <c r="F66" s="12"/>
      <c r="G66" s="20" t="s">
        <v>108</v>
      </c>
      <c r="H66" s="3" t="str">
        <f>IF($H$60=1,"-",IF($H$60=2,G69,"-"))</f>
        <v>-</v>
      </c>
    </row>
    <row r="67" spans="1:9" ht="12.75" customHeight="1" x14ac:dyDescent="0.2">
      <c r="A67" s="15"/>
      <c r="B67" s="15"/>
      <c r="C67" s="23"/>
      <c r="D67" s="12" t="s">
        <v>129</v>
      </c>
      <c r="E67" s="32"/>
      <c r="F67" s="12"/>
      <c r="G67" s="20" t="s">
        <v>109</v>
      </c>
      <c r="H67" s="3" t="str">
        <f>IF($H$60=1,"-",IF($H$60=2,G70,"-"))</f>
        <v>-</v>
      </c>
    </row>
    <row r="68" spans="1:9" ht="6" customHeight="1" x14ac:dyDescent="0.2">
      <c r="A68" s="18"/>
      <c r="B68" s="18"/>
      <c r="C68" s="12"/>
      <c r="D68" s="12"/>
      <c r="E68" s="25"/>
      <c r="F68" s="12"/>
      <c r="G68" s="20" t="s">
        <v>110</v>
      </c>
      <c r="H68" s="3" t="str">
        <f>IF($H$60=1,"-",IF($H$60=2,G71,"-"))</f>
        <v>-</v>
      </c>
    </row>
    <row r="69" spans="1:9" ht="6" customHeight="1" x14ac:dyDescent="0.2">
      <c r="A69" s="15"/>
      <c r="B69" s="12"/>
      <c r="C69" s="12"/>
      <c r="D69" s="12"/>
      <c r="E69" s="12"/>
      <c r="F69" s="12"/>
      <c r="G69" s="20" t="s">
        <v>111</v>
      </c>
      <c r="H69" s="3" t="str">
        <f>IF($H$60=1,"-",IF($H$60=2,G72,"-"))</f>
        <v>-</v>
      </c>
    </row>
    <row r="70" spans="1:9" ht="12.75" customHeight="1" x14ac:dyDescent="0.2">
      <c r="A70" s="567" t="s">
        <v>61</v>
      </c>
      <c r="B70" s="677"/>
      <c r="C70" s="65"/>
      <c r="D70" s="31"/>
      <c r="E70" s="31"/>
      <c r="F70" s="31"/>
      <c r="G70" s="20" t="s">
        <v>113</v>
      </c>
      <c r="H70" s="219">
        <f>IF(OR(LEN(C72)=LEN(H61),LEN(C72)=LEN(H62),LEN(C72)=LEN(H63),LEN(C72)=LEN(H64),LEN(C72)=LEN(H65),LEN(C72)=LEN(H66),LEN(C72)=LEN(H67),LEN(C72)=LEN(H68),LEN(C72)=LEN(H69)),C72,0)</f>
        <v>0</v>
      </c>
      <c r="I70" s="2" t="b">
        <f>IF(C70="",FALSE,A70)</f>
        <v>0</v>
      </c>
    </row>
    <row r="71" spans="1:9" ht="6" customHeight="1" x14ac:dyDescent="0.2">
      <c r="A71" s="15"/>
      <c r="B71" s="12"/>
      <c r="C71" s="12"/>
      <c r="D71" s="12"/>
      <c r="E71" s="12"/>
      <c r="F71" s="12"/>
      <c r="G71" s="20" t="s">
        <v>114</v>
      </c>
      <c r="H71" s="3" t="s">
        <v>115</v>
      </c>
    </row>
    <row r="72" spans="1:9" ht="12.75" customHeight="1" x14ac:dyDescent="0.2">
      <c r="A72" s="567" t="s">
        <v>112</v>
      </c>
      <c r="B72" s="677"/>
      <c r="C72" s="568"/>
      <c r="D72" s="672"/>
      <c r="F72" s="31"/>
      <c r="G72" s="20" t="s">
        <v>116</v>
      </c>
      <c r="H72" s="3" t="s">
        <v>117</v>
      </c>
      <c r="I72" s="220" t="b">
        <f>IF(C72="",FALSE,IF(H70&lt;&gt;C72,FALSE,A72))</f>
        <v>0</v>
      </c>
    </row>
    <row r="73" spans="1:9" ht="6" customHeight="1" x14ac:dyDescent="0.2">
      <c r="A73" s="18"/>
      <c r="B73" s="18"/>
      <c r="C73" s="12"/>
      <c r="D73" s="12"/>
      <c r="E73" s="25"/>
      <c r="F73" s="12"/>
      <c r="G73" s="11" t="e">
        <f>MID(#REF!,1,1)</f>
        <v>#REF!</v>
      </c>
    </row>
    <row r="74" spans="1:9" ht="6" customHeight="1" x14ac:dyDescent="0.2">
      <c r="A74" s="18"/>
      <c r="B74" s="18"/>
      <c r="C74" s="12"/>
      <c r="D74" s="12"/>
      <c r="E74" s="25"/>
      <c r="F74" s="12"/>
      <c r="G74" s="11"/>
    </row>
    <row r="75" spans="1:9" ht="19.5" customHeight="1" x14ac:dyDescent="0.2">
      <c r="A75" s="674" t="s">
        <v>83</v>
      </c>
      <c r="B75" s="675"/>
      <c r="C75" s="676"/>
      <c r="D75" s="676"/>
      <c r="E75" s="21"/>
      <c r="F75" s="12"/>
      <c r="G75" s="7"/>
    </row>
    <row r="76" spans="1:9" ht="9" customHeight="1" x14ac:dyDescent="0.2">
      <c r="A76" s="18"/>
      <c r="B76" s="18"/>
      <c r="C76" s="12"/>
      <c r="D76" s="12"/>
      <c r="E76" s="25"/>
      <c r="F76" s="12"/>
      <c r="G76" s="3">
        <f>IF(G78=FALSE,C41,FALSE)</f>
        <v>0</v>
      </c>
    </row>
    <row r="77" spans="1:9" ht="12.75" customHeight="1" x14ac:dyDescent="0.2">
      <c r="A77" s="567" t="s">
        <v>120</v>
      </c>
      <c r="B77" s="567"/>
      <c r="C77" s="66"/>
      <c r="D77" s="25" t="s">
        <v>121</v>
      </c>
      <c r="E77" s="23"/>
      <c r="F77" s="25" t="s">
        <v>122</v>
      </c>
      <c r="G77" s="3" t="e">
        <f>MATCH(C41,H31:H38,0)</f>
        <v>#N/A</v>
      </c>
      <c r="I77" s="2">
        <f>IF(AND(C77&lt;&gt;"",C79&lt;&gt;"",E77&lt;&gt;"",E79&lt;&gt;"")=TRUE,A77,0)</f>
        <v>0</v>
      </c>
    </row>
    <row r="78" spans="1:9" ht="6" customHeight="1" x14ac:dyDescent="0.2">
      <c r="A78" s="567"/>
      <c r="B78" s="567"/>
      <c r="C78" s="25"/>
      <c r="D78" s="25"/>
      <c r="E78" s="25"/>
      <c r="F78" s="25"/>
      <c r="G78" s="3" t="b">
        <f>ISERR(G77)</f>
        <v>0</v>
      </c>
    </row>
    <row r="79" spans="1:9" x14ac:dyDescent="0.2">
      <c r="A79" s="567"/>
      <c r="B79" s="567"/>
      <c r="C79" s="23"/>
      <c r="D79" s="25" t="s">
        <v>48</v>
      </c>
      <c r="E79" s="23"/>
      <c r="F79" s="25" t="s">
        <v>123</v>
      </c>
      <c r="I79" s="2"/>
    </row>
    <row r="80" spans="1:9" ht="6" customHeight="1" x14ac:dyDescent="0.2">
      <c r="A80" s="26"/>
      <c r="B80" s="26"/>
      <c r="C80" s="25"/>
      <c r="D80" s="25"/>
      <c r="E80" s="25"/>
      <c r="F80" s="25"/>
    </row>
    <row r="81" spans="1:9" ht="12.75" customHeight="1" x14ac:dyDescent="0.2">
      <c r="A81" s="567" t="s">
        <v>403</v>
      </c>
      <c r="B81" s="571"/>
      <c r="C81" s="218"/>
      <c r="D81" s="12" t="s">
        <v>62</v>
      </c>
      <c r="E81" s="215"/>
      <c r="F81" s="25" t="s">
        <v>404</v>
      </c>
      <c r="I81" s="2" t="b">
        <f>IF(C81="",FALSE,A81)</f>
        <v>0</v>
      </c>
    </row>
    <row r="82" spans="1:9" ht="6" customHeight="1" x14ac:dyDescent="0.2">
      <c r="A82" s="15"/>
      <c r="B82" s="12"/>
      <c r="C82" s="12"/>
      <c r="D82" s="12"/>
      <c r="E82" s="25"/>
      <c r="F82" s="25"/>
    </row>
    <row r="83" spans="1:9" x14ac:dyDescent="0.2">
      <c r="A83" s="567" t="s">
        <v>49</v>
      </c>
      <c r="B83" s="571"/>
      <c r="C83" s="673"/>
      <c r="D83" s="573"/>
      <c r="E83" s="573"/>
      <c r="F83" s="574"/>
      <c r="G83" s="7"/>
      <c r="I83" s="2" t="b">
        <f>IF(AND(NOT(ISERROR(SEARCH("@",C83)&gt;0)),C83&lt;&gt;""),A83,FALSE)</f>
        <v>0</v>
      </c>
    </row>
    <row r="84" spans="1:9" ht="15" x14ac:dyDescent="0.2">
      <c r="A84" s="14"/>
      <c r="G84" s="7"/>
    </row>
    <row r="85" spans="1:9" ht="19.5" customHeight="1" x14ac:dyDescent="0.2">
      <c r="A85" s="674" t="s">
        <v>68</v>
      </c>
      <c r="B85" s="675"/>
      <c r="C85" s="676"/>
      <c r="D85" s="676"/>
      <c r="E85" s="21"/>
      <c r="F85" s="12"/>
      <c r="G85" s="7"/>
    </row>
    <row r="86" spans="1:9" ht="9" customHeight="1" x14ac:dyDescent="0.2">
      <c r="A86" s="18"/>
      <c r="B86" s="18"/>
      <c r="C86" s="12"/>
      <c r="D86" s="12"/>
      <c r="E86" s="25"/>
      <c r="F86" s="12"/>
    </row>
    <row r="87" spans="1:9" ht="12.75" customHeight="1" x14ac:dyDescent="0.2">
      <c r="A87" s="567" t="s">
        <v>120</v>
      </c>
      <c r="B87" s="567"/>
      <c r="C87" s="66"/>
      <c r="D87" s="25" t="s">
        <v>121</v>
      </c>
      <c r="E87" s="23"/>
      <c r="F87" s="25" t="s">
        <v>122</v>
      </c>
      <c r="I87" s="2">
        <f>IF(AND(C87&lt;&gt;"",C89&lt;&gt;"",E87&lt;&gt;"",E89&lt;&gt;"")=TRUE,A87,0)</f>
        <v>0</v>
      </c>
    </row>
    <row r="88" spans="1:9" ht="6" customHeight="1" x14ac:dyDescent="0.2">
      <c r="A88" s="567"/>
      <c r="B88" s="567"/>
      <c r="C88" s="25"/>
      <c r="D88" s="25"/>
      <c r="E88" s="25"/>
      <c r="F88" s="25"/>
    </row>
    <row r="89" spans="1:9" x14ac:dyDescent="0.2">
      <c r="A89" s="567"/>
      <c r="B89" s="567"/>
      <c r="C89" s="23"/>
      <c r="D89" s="25" t="s">
        <v>48</v>
      </c>
      <c r="E89" s="23"/>
      <c r="F89" s="25" t="s">
        <v>123</v>
      </c>
      <c r="I89" s="2"/>
    </row>
    <row r="90" spans="1:9" ht="6" customHeight="1" x14ac:dyDescent="0.2">
      <c r="A90" s="26"/>
      <c r="B90" s="26"/>
      <c r="C90" s="25"/>
      <c r="D90" s="25"/>
      <c r="E90" s="25"/>
      <c r="F90" s="25"/>
    </row>
    <row r="91" spans="1:9" ht="12.75" customHeight="1" x14ac:dyDescent="0.2">
      <c r="A91" s="567" t="s">
        <v>403</v>
      </c>
      <c r="B91" s="571"/>
      <c r="C91" s="218"/>
      <c r="D91" s="12" t="s">
        <v>62</v>
      </c>
      <c r="E91" s="215"/>
      <c r="F91" s="25" t="s">
        <v>404</v>
      </c>
      <c r="I91" s="2" t="b">
        <f>IF(C91="",FALSE,A91)</f>
        <v>0</v>
      </c>
    </row>
    <row r="92" spans="1:9" ht="6" customHeight="1" x14ac:dyDescent="0.2">
      <c r="A92" s="15"/>
      <c r="B92" s="12"/>
      <c r="C92" s="12"/>
      <c r="D92" s="12"/>
      <c r="E92" s="25"/>
      <c r="F92" s="25"/>
    </row>
    <row r="93" spans="1:9" x14ac:dyDescent="0.2">
      <c r="A93" s="567" t="s">
        <v>49</v>
      </c>
      <c r="B93" s="571"/>
      <c r="C93" s="673"/>
      <c r="D93" s="573"/>
      <c r="E93" s="573"/>
      <c r="F93" s="574"/>
      <c r="G93" s="7"/>
      <c r="I93" s="2" t="b">
        <f>IF(AND(NOT(ISERROR(SEARCH("@",C93)&gt;0)),C93&lt;&gt;""),A93,FALSE)</f>
        <v>0</v>
      </c>
    </row>
    <row r="94" spans="1:9" ht="15" x14ac:dyDescent="0.2">
      <c r="A94" s="14"/>
      <c r="G94" s="7"/>
    </row>
    <row r="95" spans="1:9" ht="15" x14ac:dyDescent="0.2">
      <c r="A95" s="14"/>
    </row>
    <row r="96" spans="1:9" x14ac:dyDescent="0.2">
      <c r="A96" s="674" t="s">
        <v>70</v>
      </c>
      <c r="B96" s="675"/>
      <c r="C96" s="676"/>
      <c r="D96" s="676"/>
      <c r="G96" s="7">
        <v>2014</v>
      </c>
    </row>
    <row r="97" spans="1:10" ht="15" x14ac:dyDescent="0.2">
      <c r="A97" s="14"/>
      <c r="G97" s="7">
        <v>2015</v>
      </c>
    </row>
    <row r="98" spans="1:10" ht="12.75" customHeight="1" x14ac:dyDescent="0.2">
      <c r="A98" s="567" t="s">
        <v>40</v>
      </c>
      <c r="B98" s="667"/>
      <c r="C98" s="668"/>
      <c r="E98" s="65"/>
      <c r="F98" s="7" t="s">
        <v>125</v>
      </c>
      <c r="G98" s="7">
        <v>2016</v>
      </c>
      <c r="I98" s="2" t="b">
        <f>IF(E98="",FALSE,A98)</f>
        <v>0</v>
      </c>
    </row>
    <row r="99" spans="1:10" ht="6" customHeight="1" x14ac:dyDescent="0.2"/>
    <row r="100" spans="1:10" ht="12.75" customHeight="1" x14ac:dyDescent="0.2">
      <c r="A100" s="15" t="s">
        <v>71</v>
      </c>
      <c r="B100" s="28"/>
      <c r="C100" s="216"/>
      <c r="D100" s="7" t="s">
        <v>132</v>
      </c>
      <c r="E100" s="40" t="s">
        <v>135</v>
      </c>
      <c r="F100" s="65"/>
      <c r="G100" s="7" t="s">
        <v>59</v>
      </c>
      <c r="H100" s="3" t="b">
        <f>ISBLANK(F100)</f>
        <v>1</v>
      </c>
      <c r="I100" s="2" t="b">
        <f>IF(C100="",FALSE,A100)</f>
        <v>0</v>
      </c>
      <c r="J100" s="2" t="b">
        <f>IF(F100="",FALSE,E100)</f>
        <v>0</v>
      </c>
    </row>
    <row r="101" spans="1:10" ht="6" customHeight="1" x14ac:dyDescent="0.25">
      <c r="A101" s="27"/>
      <c r="G101" s="7" t="s">
        <v>133</v>
      </c>
    </row>
    <row r="102" spans="1:10" ht="12.75" customHeight="1" x14ac:dyDescent="0.2">
      <c r="A102" s="567" t="s">
        <v>72</v>
      </c>
      <c r="B102" s="667"/>
      <c r="C102" s="668"/>
      <c r="E102" s="217"/>
      <c r="F102" s="38" t="str">
        <f>IF(H$100=FALSE,F$100,"")</f>
        <v/>
      </c>
      <c r="G102" s="7" t="s">
        <v>134</v>
      </c>
      <c r="I102" s="2" t="b">
        <f>IF(E102="",FALSE,A102)</f>
        <v>0</v>
      </c>
    </row>
    <row r="103" spans="1:10" ht="6" customHeight="1" x14ac:dyDescent="0.2">
      <c r="A103" s="15"/>
      <c r="B103" s="15"/>
      <c r="C103" s="36"/>
      <c r="E103" s="37"/>
      <c r="F103" s="38"/>
      <c r="G103" s="7" t="s">
        <v>130</v>
      </c>
      <c r="I103" s="2"/>
    </row>
    <row r="104" spans="1:10" ht="12.75" customHeight="1" x14ac:dyDescent="0.2">
      <c r="A104" s="567" t="s">
        <v>29</v>
      </c>
      <c r="B104" s="667"/>
      <c r="C104" s="668"/>
      <c r="E104" s="217"/>
      <c r="F104" s="38" t="str">
        <f>IF(H$100=FALSE,F$100,"")</f>
        <v/>
      </c>
      <c r="G104" s="7"/>
      <c r="I104" s="2" t="b">
        <f>IF(E104="",FALSE,A104)</f>
        <v>0</v>
      </c>
    </row>
    <row r="105" spans="1:10" ht="6" customHeight="1" x14ac:dyDescent="0.2">
      <c r="F105" s="38"/>
    </row>
    <row r="106" spans="1:10" ht="12.75" customHeight="1" x14ac:dyDescent="0.2">
      <c r="A106" s="567" t="s">
        <v>73</v>
      </c>
      <c r="B106" s="667"/>
      <c r="C106" s="668"/>
      <c r="E106" s="217"/>
      <c r="F106" s="38" t="str">
        <f>IF(H$100=FALSE,F$100,"")</f>
        <v/>
      </c>
      <c r="G106" s="7"/>
      <c r="I106" s="2" t="b">
        <f>IF(E106="",FALSE,A106)</f>
        <v>0</v>
      </c>
    </row>
    <row r="107" spans="1:10" ht="6" customHeight="1" x14ac:dyDescent="0.2"/>
    <row r="108" spans="1:10" x14ac:dyDescent="0.2">
      <c r="A108" s="567" t="s">
        <v>164</v>
      </c>
      <c r="B108" s="667"/>
      <c r="C108" s="668"/>
      <c r="D108" s="668"/>
      <c r="E108" s="668"/>
      <c r="F108" s="210"/>
      <c r="I108" s="2" t="b">
        <f>IF(F108="",FALSE,A108)</f>
        <v>0</v>
      </c>
    </row>
  </sheetData>
  <sheetProtection password="F58B" sheet="1" selectLockedCells="1"/>
  <mergeCells count="63">
    <mergeCell ref="A9:B9"/>
    <mergeCell ref="C9:F9"/>
    <mergeCell ref="J1:K1"/>
    <mergeCell ref="A2:F2"/>
    <mergeCell ref="A5:B5"/>
    <mergeCell ref="C5:F5"/>
    <mergeCell ref="A7:B7"/>
    <mergeCell ref="C7:F7"/>
    <mergeCell ref="A17:B17"/>
    <mergeCell ref="A19:B19"/>
    <mergeCell ref="C19:F19"/>
    <mergeCell ref="A11:B11"/>
    <mergeCell ref="A13:B13"/>
    <mergeCell ref="C13:D13"/>
    <mergeCell ref="A15:B15"/>
    <mergeCell ref="C15:D15"/>
    <mergeCell ref="E11:F14"/>
    <mergeCell ref="D17:E17"/>
    <mergeCell ref="A21:B21"/>
    <mergeCell ref="C21:F21"/>
    <mergeCell ref="A30:D30"/>
    <mergeCell ref="A32:B34"/>
    <mergeCell ref="C32:E32"/>
    <mergeCell ref="A23:B23"/>
    <mergeCell ref="C23:D23"/>
    <mergeCell ref="A25:B25"/>
    <mergeCell ref="C25:D25"/>
    <mergeCell ref="A27:B27"/>
    <mergeCell ref="C27:D27"/>
    <mergeCell ref="E23:F23"/>
    <mergeCell ref="A39:B39"/>
    <mergeCell ref="A41:B41"/>
    <mergeCell ref="C41:D41"/>
    <mergeCell ref="A55:B55"/>
    <mergeCell ref="A57:B57"/>
    <mergeCell ref="C57:D57"/>
    <mergeCell ref="A83:B83"/>
    <mergeCell ref="C83:F83"/>
    <mergeCell ref="A85:D85"/>
    <mergeCell ref="A96:D96"/>
    <mergeCell ref="A93:B93"/>
    <mergeCell ref="C93:F93"/>
    <mergeCell ref="A75:D75"/>
    <mergeCell ref="A77:B79"/>
    <mergeCell ref="A70:B70"/>
    <mergeCell ref="A72:B72"/>
    <mergeCell ref="C72:D72"/>
    <mergeCell ref="A63:B65"/>
    <mergeCell ref="C63:E63"/>
    <mergeCell ref="A106:C106"/>
    <mergeCell ref="A108:E108"/>
    <mergeCell ref="A43:B43"/>
    <mergeCell ref="C43:F43"/>
    <mergeCell ref="A46:D46"/>
    <mergeCell ref="A48:B50"/>
    <mergeCell ref="C48:E48"/>
    <mergeCell ref="A91:B91"/>
    <mergeCell ref="A87:B89"/>
    <mergeCell ref="A102:C102"/>
    <mergeCell ref="A104:C104"/>
    <mergeCell ref="A98:C98"/>
    <mergeCell ref="A61:D61"/>
    <mergeCell ref="A81:B81"/>
  </mergeCells>
  <phoneticPr fontId="3" type="noConversion"/>
  <conditionalFormatting sqref="A32:B36">
    <cfRule type="cellIs" dxfId="408" priority="39" stopIfTrue="1" operator="notEqual">
      <formula>$I$32</formula>
    </cfRule>
  </conditionalFormatting>
  <conditionalFormatting sqref="A77:B79 A87:B89">
    <cfRule type="cellIs" dxfId="407" priority="38" stopIfTrue="1" operator="notEqual">
      <formula>$I$77</formula>
    </cfRule>
  </conditionalFormatting>
  <conditionalFormatting sqref="A83:B83">
    <cfRule type="cellIs" dxfId="406" priority="37" stopIfTrue="1" operator="notEqual">
      <formula>$I$83</formula>
    </cfRule>
  </conditionalFormatting>
  <conditionalFormatting sqref="A15:B15">
    <cfRule type="cellIs" dxfId="405" priority="36" stopIfTrue="1" operator="notEqual">
      <formula>$I$15</formula>
    </cfRule>
  </conditionalFormatting>
  <conditionalFormatting sqref="A17:B17">
    <cfRule type="cellIs" dxfId="404" priority="35" stopIfTrue="1" operator="notEqual">
      <formula>$I$17</formula>
    </cfRule>
  </conditionalFormatting>
  <conditionalFormatting sqref="A23:B23">
    <cfRule type="cellIs" dxfId="403" priority="34" stopIfTrue="1" operator="notEqual">
      <formula>$I$23</formula>
    </cfRule>
  </conditionalFormatting>
  <conditionalFormatting sqref="A25:B25">
    <cfRule type="cellIs" dxfId="402" priority="33" stopIfTrue="1" operator="notEqual">
      <formula>$I$25</formula>
    </cfRule>
  </conditionalFormatting>
  <conditionalFormatting sqref="A27:B28">
    <cfRule type="cellIs" dxfId="401" priority="32" stopIfTrue="1" operator="notEqual">
      <formula>$I$27</formula>
    </cfRule>
  </conditionalFormatting>
  <conditionalFormatting sqref="A43:B45 A56:B56 A47:B47 A53:B54 A58:B60 A73:B74 A71:B71 A62:B62 A68:B69">
    <cfRule type="cellIs" dxfId="400" priority="31" stopIfTrue="1" operator="notEqual">
      <formula>$I$43</formula>
    </cfRule>
  </conditionalFormatting>
  <conditionalFormatting sqref="A48:B50">
    <cfRule type="cellIs" dxfId="399" priority="30" stopIfTrue="1" operator="notEqual">
      <formula>$I$48</formula>
    </cfRule>
  </conditionalFormatting>
  <conditionalFormatting sqref="A55:B55">
    <cfRule type="cellIs" dxfId="398" priority="29" stopIfTrue="1" operator="notEqual">
      <formula>$I$55</formula>
    </cfRule>
  </conditionalFormatting>
  <conditionalFormatting sqref="A57:B57">
    <cfRule type="cellIs" dxfId="397" priority="28" stopIfTrue="1" operator="notEqual">
      <formula>$I$57</formula>
    </cfRule>
  </conditionalFormatting>
  <conditionalFormatting sqref="A63:B65">
    <cfRule type="cellIs" dxfId="396" priority="27" stopIfTrue="1" operator="notEqual">
      <formula>$I$63</formula>
    </cfRule>
  </conditionalFormatting>
  <conditionalFormatting sqref="A70:B70">
    <cfRule type="cellIs" dxfId="395" priority="26" stopIfTrue="1" operator="notEqual">
      <formula>$I$70</formula>
    </cfRule>
  </conditionalFormatting>
  <conditionalFormatting sqref="A72:B72">
    <cfRule type="cellIs" dxfId="394" priority="25" stopIfTrue="1" operator="notEqual">
      <formula>$I$72</formula>
    </cfRule>
  </conditionalFormatting>
  <conditionalFormatting sqref="A98:C98">
    <cfRule type="cellIs" dxfId="393" priority="24" stopIfTrue="1" operator="notEqual">
      <formula>$I$98</formula>
    </cfRule>
  </conditionalFormatting>
  <conditionalFormatting sqref="A100">
    <cfRule type="cellIs" dxfId="392" priority="23" stopIfTrue="1" operator="notEqual">
      <formula>$I$100</formula>
    </cfRule>
  </conditionalFormatting>
  <conditionalFormatting sqref="E100">
    <cfRule type="cellIs" dxfId="391" priority="22" stopIfTrue="1" operator="notEqual">
      <formula>$J$100</formula>
    </cfRule>
  </conditionalFormatting>
  <conditionalFormatting sqref="A102:C102">
    <cfRule type="cellIs" dxfId="390" priority="21" stopIfTrue="1" operator="notEqual">
      <formula>$I$102</formula>
    </cfRule>
  </conditionalFormatting>
  <conditionalFormatting sqref="A104:C104">
    <cfRule type="cellIs" dxfId="389" priority="20" stopIfTrue="1" operator="notEqual">
      <formula>$I$104</formula>
    </cfRule>
  </conditionalFormatting>
  <conditionalFormatting sqref="A106:C106">
    <cfRule type="cellIs" dxfId="388" priority="19" stopIfTrue="1" operator="notEqual">
      <formula>$I$106</formula>
    </cfRule>
  </conditionalFormatting>
  <conditionalFormatting sqref="A108:E108">
    <cfRule type="cellIs" dxfId="387" priority="18" stopIfTrue="1" operator="notEqual">
      <formula>$I$108</formula>
    </cfRule>
  </conditionalFormatting>
  <conditionalFormatting sqref="A93:B93">
    <cfRule type="cellIs" dxfId="386" priority="16" stopIfTrue="1" operator="notEqual">
      <formula>$I$93</formula>
    </cfRule>
  </conditionalFormatting>
  <conditionalFormatting sqref="E11:F14">
    <cfRule type="cellIs" dxfId="385" priority="15" stopIfTrue="1" operator="equal">
      <formula>$K$11</formula>
    </cfRule>
  </conditionalFormatting>
  <conditionalFormatting sqref="A81:B81">
    <cfRule type="cellIs" dxfId="384" priority="14" stopIfTrue="1" operator="notEqual">
      <formula>$I$81</formula>
    </cfRule>
  </conditionalFormatting>
  <conditionalFormatting sqref="A91:B91">
    <cfRule type="cellIs" dxfId="383" priority="13" stopIfTrue="1" operator="notEqual">
      <formula>$I$91</formula>
    </cfRule>
  </conditionalFormatting>
  <conditionalFormatting sqref="A5:B5">
    <cfRule type="cellIs" dxfId="382" priority="12" stopIfTrue="1" operator="notEqual">
      <formula>$I$5</formula>
    </cfRule>
  </conditionalFormatting>
  <conditionalFormatting sqref="A7:B7">
    <cfRule type="cellIs" dxfId="381" priority="11" stopIfTrue="1" operator="notEqual">
      <formula>$I$7</formula>
    </cfRule>
  </conditionalFormatting>
  <conditionalFormatting sqref="A9:B9">
    <cfRule type="cellIs" dxfId="380" priority="10" stopIfTrue="1" operator="notEqual">
      <formula>$I$9</formula>
    </cfRule>
  </conditionalFormatting>
  <conditionalFormatting sqref="A19:B19">
    <cfRule type="cellIs" dxfId="379" priority="9" stopIfTrue="1" operator="notEqual">
      <formula>$I$19</formula>
    </cfRule>
  </conditionalFormatting>
  <conditionalFormatting sqref="A21:B21">
    <cfRule type="cellIs" dxfId="378" priority="8" stopIfTrue="1" operator="notEqual">
      <formula>$I$21</formula>
    </cfRule>
  </conditionalFormatting>
  <conditionalFormatting sqref="A11:B11">
    <cfRule type="cellIs" dxfId="377" priority="7" stopIfTrue="1" operator="notEqual">
      <formula>$I$11</formula>
    </cfRule>
  </conditionalFormatting>
  <conditionalFormatting sqref="A13:B13">
    <cfRule type="cellIs" dxfId="376" priority="6" stopIfTrue="1" operator="notEqual">
      <formula>$I$13</formula>
    </cfRule>
  </conditionalFormatting>
  <conditionalFormatting sqref="A39:B39">
    <cfRule type="cellIs" dxfId="375" priority="5" stopIfTrue="1" operator="notEqual">
      <formula>$I$39</formula>
    </cfRule>
  </conditionalFormatting>
  <conditionalFormatting sqref="A41:B41">
    <cfRule type="cellIs" dxfId="374" priority="4" stopIfTrue="1" operator="notEqual">
      <formula>$I$41</formula>
    </cfRule>
  </conditionalFormatting>
  <conditionalFormatting sqref="C41:D41">
    <cfRule type="cellIs" dxfId="373" priority="3" stopIfTrue="1" operator="notEqual">
      <formula>$H$39</formula>
    </cfRule>
  </conditionalFormatting>
  <conditionalFormatting sqref="C57:D57">
    <cfRule type="cellIs" dxfId="372" priority="2" stopIfTrue="1" operator="notEqual">
      <formula>$H$55</formula>
    </cfRule>
  </conditionalFormatting>
  <conditionalFormatting sqref="C72:D72">
    <cfRule type="cellIs" dxfId="371" priority="1" stopIfTrue="1" operator="notEqual">
      <formula>$H$70</formula>
    </cfRule>
  </conditionalFormatting>
  <dataValidations count="32">
    <dataValidation type="whole" allowBlank="1" showInputMessage="1" showErrorMessage="1" sqref="C51 C35 C66">
      <formula1>1000</formula1>
      <formula2>9999</formula2>
    </dataValidation>
    <dataValidation type="textLength" allowBlank="1" showInputMessage="1" showErrorMessage="1" sqref="C54:F54 C10:F10 C38:F38 C69:F69">
      <formula1>3</formula1>
      <formula2>50</formula2>
    </dataValidation>
    <dataValidation type="textLength" allowBlank="1" showInputMessage="1" showErrorMessage="1" sqref="E80 E90">
      <formula1>1</formula1>
      <formula2>30</formula2>
    </dataValidation>
    <dataValidation type="textLength" allowBlank="1" showInputMessage="1" showErrorMessage="1" sqref="C80 C9:F9 E88 E78 C90">
      <formula1>1</formula1>
      <formula2>20</formula2>
    </dataValidation>
    <dataValidation type="textLength" allowBlank="1" showInputMessage="1" showErrorMessage="1" sqref="C49:E49 C33:E33 C64:E64">
      <formula1>4</formula1>
      <formula2>100</formula2>
    </dataValidation>
    <dataValidation type="whole" operator="equal" allowBlank="1" showInputMessage="1" showErrorMessage="1" sqref="C37 C85:C86 C73:C76 C53 C58:C59 C42 C68">
      <formula1>4</formula1>
    </dataValidation>
    <dataValidation type="textLength" allowBlank="1" showInputMessage="1" showErrorMessage="1" sqref="E34:E37 E59 E73:E76 E50:E53 E85:E86 E42 E65:E68">
      <formula1>2</formula1>
      <formula2>50</formula2>
    </dataValidation>
    <dataValidation type="textLength" allowBlank="1" showInputMessage="1" showErrorMessage="1" sqref="C32:E32 C48:E48 C63:E63">
      <formula1>1</formula1>
      <formula2>100</formula2>
    </dataValidation>
    <dataValidation type="list" allowBlank="1" showInputMessage="1" showErrorMessage="1" sqref="C55 C39">
      <formula1>$G$1:$G$2</formula1>
    </dataValidation>
    <dataValidation type="textLength" allowBlank="1" showInputMessage="1" showErrorMessage="1" sqref="C6:F6 C8:F8">
      <formula1>6</formula1>
      <formula2>150</formula2>
    </dataValidation>
    <dataValidation type="list" allowBlank="1" showInputMessage="1" showErrorMessage="1" sqref="C15">
      <formula1>$H$15:$H$16</formula1>
    </dataValidation>
    <dataValidation type="whole" allowBlank="1" showInputMessage="1" showErrorMessage="1" sqref="C18">
      <formula1>1000</formula1>
      <formula2>2009</formula2>
    </dataValidation>
    <dataValidation type="textLength" operator="lessThan" allowBlank="1" showInputMessage="1" showErrorMessage="1" sqref="C19:F19">
      <formula1>150</formula1>
    </dataValidation>
    <dataValidation type="textLength" operator="lessThan" allowBlank="1" showInputMessage="1" showErrorMessage="1" sqref="C28:D28">
      <formula1>25</formula1>
    </dataValidation>
    <dataValidation type="textLength" operator="lessThan" allowBlank="1" showInputMessage="1" showErrorMessage="1" sqref="C43:F44">
      <formula1>40</formula1>
    </dataValidation>
    <dataValidation type="whole" allowBlank="1" showInputMessage="1" showErrorMessage="1" sqref="C36 C52 C67">
      <formula1>0</formula1>
      <formula2>100000</formula2>
    </dataValidation>
    <dataValidation type="decimal" allowBlank="1" showInputMessage="1" showErrorMessage="1" sqref="F108">
      <formula1>0</formula1>
      <formula2>500000</formula2>
    </dataValidation>
    <dataValidation type="decimal" allowBlank="1" showInputMessage="1" showErrorMessage="1" sqref="C100">
      <formula1>0.1</formula1>
      <formula2>99999999</formula2>
    </dataValidation>
    <dataValidation type="whole" allowBlank="1" showInputMessage="1" showErrorMessage="1" sqref="C50 C34">
      <formula1>1000</formula1>
      <formula2>99999</formula2>
    </dataValidation>
    <dataValidation type="textLength" operator="lessThanOrEqual" allowBlank="1" showInputMessage="1" showErrorMessage="1" sqref="C27:D27 C23:D23 C25:D25">
      <formula1>25</formula1>
    </dataValidation>
    <dataValidation type="list" allowBlank="1" showInputMessage="1" showErrorMessage="1" sqref="F100">
      <formula1>$G$100:$G$103</formula1>
    </dataValidation>
    <dataValidation type="list" allowBlank="1" showInputMessage="1" showErrorMessage="1" sqref="E98">
      <formula1>$G$96:$G$98</formula1>
    </dataValidation>
    <dataValidation type="list" allowBlank="1" showInputMessage="1" showErrorMessage="1" sqref="C72:D72">
      <formula1>$H$62:$H$69</formula1>
    </dataValidation>
    <dataValidation type="list" allowBlank="1" showInputMessage="1" showErrorMessage="1" sqref="C70">
      <formula1>$G$59:$G$61</formula1>
    </dataValidation>
    <dataValidation type="list" allowBlank="1" showInputMessage="1" showErrorMessage="1" sqref="C41:D41">
      <formula1>$H$30:$H$38</formula1>
    </dataValidation>
    <dataValidation type="list" allowBlank="1" showInputMessage="1" showErrorMessage="1" sqref="C77 C87">
      <formula1>$H$12:$H$13</formula1>
    </dataValidation>
    <dataValidation type="list" allowBlank="1" showInputMessage="1" showErrorMessage="1" sqref="C21:F21">
      <formula1>$J$2:$J$11</formula1>
    </dataValidation>
    <dataValidation type="textLength" allowBlank="1" showInputMessage="1" showErrorMessage="1" sqref="C5:F5 C7:F7">
      <formula1>1</formula1>
      <formula2>150</formula2>
    </dataValidation>
    <dataValidation type="list" allowBlank="1" showInputMessage="1" showErrorMessage="1" sqref="C57:D57">
      <formula1>$H$46:$H$54</formula1>
    </dataValidation>
    <dataValidation type="whole" allowBlank="1" showInputMessage="1" showErrorMessage="1" sqref="C65">
      <formula1>0</formula1>
      <formula2>99999</formula2>
    </dataValidation>
    <dataValidation type="textLength" operator="lessThanOrEqual" allowBlank="1" showInputMessage="1" showErrorMessage="1" sqref="C17">
      <formula1>15</formula1>
    </dataValidation>
    <dataValidation type="textLength" operator="lessThanOrEqual" allowBlank="1" showInputMessage="1" showErrorMessage="1" sqref="C79 E77 E79 E87 E89 C89">
      <formula1>30</formula1>
    </dataValidation>
  </dataValidations>
  <pageMargins left="0.94488188976377963" right="0.39370078740157483" top="0.74803149606299213" bottom="0.74803149606299213" header="0.31496062992125984" footer="0.31496062992125984"/>
  <pageSetup orientation="landscape" horizontalDpi="300" verticalDpi="300"/>
  <headerFooter>
    <oddFooter xml:space="preserve">&amp;C&amp;"Arial,Italic"&amp;8&amp;A&amp;R&amp;"Arial,Italic"&amp;8Page &amp;P of &amp;N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8"/>
  <sheetViews>
    <sheetView topLeftCell="A2" workbookViewId="0">
      <selection activeCell="C5" sqref="C5:F5"/>
    </sheetView>
  </sheetViews>
  <sheetFormatPr defaultColWidth="9.140625" defaultRowHeight="12.75" x14ac:dyDescent="0.2"/>
  <cols>
    <col min="1" max="2" width="14.85546875" style="3" customWidth="1"/>
    <col min="3" max="3" width="18.85546875" style="3" customWidth="1"/>
    <col min="4" max="4" width="10.7109375" style="3" customWidth="1"/>
    <col min="5" max="5" width="18.85546875" style="3" customWidth="1"/>
    <col min="6" max="6" width="12.140625" style="3" customWidth="1"/>
    <col min="7" max="7" width="24.140625" style="3" hidden="1" customWidth="1"/>
    <col min="8" max="8" width="18" style="3" hidden="1" customWidth="1"/>
    <col min="9" max="9" width="9.140625" style="3" hidden="1" customWidth="1"/>
    <col min="10" max="10" width="12.42578125" style="3" hidden="1" customWidth="1"/>
    <col min="11" max="14" width="9.140625" style="3" hidden="1" customWidth="1"/>
    <col min="15" max="16384" width="9.140625" style="3"/>
  </cols>
  <sheetData>
    <row r="1" spans="1:15" ht="6.75" hidden="1" customHeight="1" x14ac:dyDescent="0.2">
      <c r="G1" s="7" t="s">
        <v>102</v>
      </c>
      <c r="H1" s="3">
        <f>IF($C$11="Hungary",1,IF($C$11="Croatia",2,0))</f>
        <v>0</v>
      </c>
      <c r="J1" s="567" t="s">
        <v>44</v>
      </c>
      <c r="K1" s="677"/>
    </row>
    <row r="2" spans="1:15" ht="15.75" x14ac:dyDescent="0.25">
      <c r="A2" s="560" t="s">
        <v>349</v>
      </c>
      <c r="B2" s="561"/>
      <c r="C2" s="561"/>
      <c r="D2" s="561"/>
      <c r="E2" s="561"/>
      <c r="F2" s="561"/>
      <c r="G2" s="7" t="s">
        <v>103</v>
      </c>
      <c r="J2" t="s">
        <v>228</v>
      </c>
    </row>
    <row r="3" spans="1:15" ht="11.25" customHeight="1" x14ac:dyDescent="0.2">
      <c r="A3" s="14"/>
      <c r="G3" s="3" t="s">
        <v>104</v>
      </c>
      <c r="H3" s="3" t="str">
        <f>IF($H$1=1,G3,IF($H$1=2,G6,"-"))</f>
        <v>-</v>
      </c>
      <c r="J3" t="s">
        <v>229</v>
      </c>
    </row>
    <row r="4" spans="1:15" ht="15" x14ac:dyDescent="0.25">
      <c r="A4" s="19" t="s">
        <v>354</v>
      </c>
      <c r="G4" s="3" t="s">
        <v>105</v>
      </c>
      <c r="H4" s="3" t="str">
        <f>IF($H$1=1,G4,IF($H$1=2,G7,"-"))</f>
        <v>-</v>
      </c>
      <c r="J4" s="3" t="s">
        <v>232</v>
      </c>
    </row>
    <row r="5" spans="1:15" ht="46.5" customHeight="1" x14ac:dyDescent="0.2">
      <c r="A5" s="567" t="s">
        <v>181</v>
      </c>
      <c r="B5" s="667"/>
      <c r="C5" s="698"/>
      <c r="D5" s="689"/>
      <c r="E5" s="689"/>
      <c r="F5" s="690"/>
      <c r="G5" s="3" t="s">
        <v>106</v>
      </c>
      <c r="H5" s="3" t="str">
        <f>IF($H$1=1,G5,IF($H$1=2,G8,"-"))</f>
        <v>-</v>
      </c>
      <c r="I5" s="2" t="b">
        <f>IF(C5="",FALSE,A5)</f>
        <v>0</v>
      </c>
      <c r="J5" t="s">
        <v>230</v>
      </c>
    </row>
    <row r="6" spans="1:15" ht="6" customHeight="1" x14ac:dyDescent="0.2">
      <c r="A6" s="15"/>
      <c r="B6" s="12"/>
      <c r="C6" s="12"/>
      <c r="D6" s="12"/>
      <c r="E6" s="12"/>
      <c r="F6" s="12"/>
      <c r="G6" s="20" t="s">
        <v>107</v>
      </c>
      <c r="H6" s="3" t="str">
        <f>IF($H$1=1,"-",IF($H$1=2,G9,"-"))</f>
        <v>-</v>
      </c>
      <c r="J6" t="s">
        <v>153</v>
      </c>
    </row>
    <row r="7" spans="1:15" ht="46.5" customHeight="1" x14ac:dyDescent="0.2">
      <c r="A7" s="567" t="s">
        <v>163</v>
      </c>
      <c r="B7" s="667"/>
      <c r="C7" s="698"/>
      <c r="D7" s="689"/>
      <c r="E7" s="689"/>
      <c r="F7" s="690"/>
      <c r="G7" s="20" t="s">
        <v>108</v>
      </c>
      <c r="H7" s="3" t="str">
        <f>IF($H$1=1,"-",IF($H$1=2,G10,"-"))</f>
        <v>-</v>
      </c>
      <c r="I7" s="2" t="b">
        <f>IF(C7="",FALSE,A7)</f>
        <v>0</v>
      </c>
      <c r="J7" t="s">
        <v>231</v>
      </c>
    </row>
    <row r="8" spans="1:15" ht="6" customHeight="1" x14ac:dyDescent="0.2">
      <c r="A8" s="15"/>
      <c r="B8" s="12"/>
      <c r="C8" s="12"/>
      <c r="D8" s="12"/>
      <c r="E8" s="12"/>
      <c r="F8" s="12"/>
      <c r="G8" s="20" t="s">
        <v>109</v>
      </c>
      <c r="H8" s="3" t="str">
        <f>IF($H$1=1,"-",IF($H$1=2,G11,"-"))</f>
        <v>-</v>
      </c>
      <c r="J8" t="s">
        <v>156</v>
      </c>
    </row>
    <row r="9" spans="1:15" ht="25.5" customHeight="1" x14ac:dyDescent="0.2">
      <c r="A9" s="567" t="s">
        <v>180</v>
      </c>
      <c r="B9" s="667"/>
      <c r="C9" s="700"/>
      <c r="D9" s="695"/>
      <c r="E9" s="695"/>
      <c r="F9" s="696"/>
      <c r="G9" s="20" t="s">
        <v>110</v>
      </c>
      <c r="H9" s="3" t="str">
        <f>IF($H$1=1,"-",IF($H$1=2,G12,"-"))</f>
        <v>-</v>
      </c>
      <c r="I9" s="2" t="b">
        <f>IF(C9="",FALSE,A9)</f>
        <v>0</v>
      </c>
      <c r="J9" t="s">
        <v>160</v>
      </c>
      <c r="O9" s="151"/>
    </row>
    <row r="10" spans="1:15" ht="6" customHeight="1" thickBot="1" x14ac:dyDescent="0.25">
      <c r="A10" s="15"/>
      <c r="B10" s="12"/>
      <c r="C10" s="12"/>
      <c r="D10" s="12"/>
      <c r="E10" s="12"/>
      <c r="F10" s="12"/>
      <c r="G10" s="20" t="s">
        <v>111</v>
      </c>
      <c r="H10" s="3" t="str">
        <f>IF($H$1=1,"-",IF($H$1=2,G13,"-"))</f>
        <v>-</v>
      </c>
      <c r="J10" t="s">
        <v>154</v>
      </c>
    </row>
    <row r="11" spans="1:15" ht="12.75" customHeight="1" thickBot="1" x14ac:dyDescent="0.25">
      <c r="A11" s="567" t="s">
        <v>61</v>
      </c>
      <c r="B11" s="667"/>
      <c r="C11" s="209" t="str">
        <f>IF(OR(C13=G3,C13=G4,C13=G5),G1,IF(LEN(C13)&gt;5,G2,IF(LEN(C13)=5,C39,"")))</f>
        <v/>
      </c>
      <c r="D11" s="31"/>
      <c r="E11" s="684" t="s">
        <v>348</v>
      </c>
      <c r="F11" s="684"/>
      <c r="G11" s="20" t="s">
        <v>113</v>
      </c>
      <c r="I11" s="2" t="b">
        <f>IF(C11="",FALSE,A11)</f>
        <v>0</v>
      </c>
      <c r="J11" t="s">
        <v>155</v>
      </c>
      <c r="K11" s="168" t="str">
        <f>IF(AND(LEN(C13)&gt;5,OR(C13=G3,C13=G4,C13=G5,C13=G6,C13=G7,C13=G8,C13=G9,C13=G10,C13=G11,C13=G12,C13=G13)),"",IF(C13="","",E11))</f>
        <v/>
      </c>
      <c r="L11" s="168" t="str">
        <f>IF(AND(LEN(C13)&gt;5,OR(C13=G3,C13=G4,C13=G5,C13=G6,C13=G7,C13=G8,C13=G9,C13=G10,C13=G11,C13=G12,C13=G13)),"",IF(C13="","","Lead Beneficiary is not eligible (adjacent or out of the programme area)!"))</f>
        <v/>
      </c>
    </row>
    <row r="12" spans="1:15" ht="6" customHeight="1" x14ac:dyDescent="0.2">
      <c r="A12" s="15"/>
      <c r="B12" s="12"/>
      <c r="C12" s="12"/>
      <c r="D12" s="12"/>
      <c r="E12" s="684"/>
      <c r="F12" s="684"/>
      <c r="G12" s="20" t="s">
        <v>114</v>
      </c>
      <c r="H12" s="3" t="s">
        <v>115</v>
      </c>
      <c r="J12" s="406" t="s">
        <v>401</v>
      </c>
    </row>
    <row r="13" spans="1:15" ht="12.75" customHeight="1" x14ac:dyDescent="0.2">
      <c r="A13" s="567" t="s">
        <v>112</v>
      </c>
      <c r="B13" s="667"/>
      <c r="C13" s="630" t="str">
        <f>IF(AND(ISTEXT(C72),C72&lt;&gt;"-",LEN(C41)&lt;=5,H70=C72),C72,IF(AND(ISTEXT(C41),C41&lt;&gt;"-",H39=C41),C41,""))</f>
        <v/>
      </c>
      <c r="D13" s="632"/>
      <c r="E13" s="684"/>
      <c r="F13" s="684"/>
      <c r="G13" s="20" t="s">
        <v>116</v>
      </c>
      <c r="H13" s="3" t="s">
        <v>117</v>
      </c>
      <c r="I13" s="2" t="b">
        <f>IF(C13="",FALSE,IF(C13="-",FALSE,A13))</f>
        <v>0</v>
      </c>
      <c r="J13" s="406" t="s">
        <v>402</v>
      </c>
      <c r="K13" s="3" t="str">
        <f>IF(AND(ISTEXT(C72),C72&lt;&gt;"-"),C72,IF(AND(ISTEXT(C41),C41&lt;&gt;"-"),C41,""))</f>
        <v/>
      </c>
    </row>
    <row r="14" spans="1:15" ht="6" customHeight="1" x14ac:dyDescent="0.2">
      <c r="A14" s="15"/>
      <c r="B14" s="12"/>
      <c r="C14" s="12"/>
      <c r="D14" s="12"/>
      <c r="E14" s="684"/>
      <c r="F14" s="684"/>
      <c r="G14" s="11" t="s">
        <v>148</v>
      </c>
      <c r="J14" s="1"/>
    </row>
    <row r="15" spans="1:15" ht="12.75" customHeight="1" x14ac:dyDescent="0.2">
      <c r="A15" s="567" t="s">
        <v>43</v>
      </c>
      <c r="B15" s="667"/>
      <c r="C15" s="568"/>
      <c r="D15" s="569"/>
      <c r="G15" s="3">
        <f>IF($C$11="Hungary",1,IF($C$11="Croatia",2,0))</f>
        <v>0</v>
      </c>
      <c r="H15" s="3" t="s">
        <v>1</v>
      </c>
      <c r="I15" s="2" t="b">
        <f>IF(C15="",FALSE,A15)</f>
        <v>0</v>
      </c>
      <c r="J15" s="1"/>
    </row>
    <row r="16" spans="1:15" ht="6" customHeight="1" x14ac:dyDescent="0.2">
      <c r="A16" s="15"/>
      <c r="B16" s="12"/>
      <c r="C16" s="21"/>
      <c r="D16" s="29"/>
      <c r="E16" s="21"/>
      <c r="F16" s="12"/>
      <c r="H16" s="3" t="s">
        <v>2</v>
      </c>
      <c r="J16" s="1"/>
    </row>
    <row r="17" spans="1:9" ht="12.75" customHeight="1" x14ac:dyDescent="0.2">
      <c r="A17" s="567" t="s">
        <v>76</v>
      </c>
      <c r="B17" s="667"/>
      <c r="C17" s="301"/>
      <c r="D17" s="692" t="s">
        <v>0</v>
      </c>
      <c r="E17" s="693"/>
      <c r="I17" s="2" t="b">
        <f>IF(C17="",FALSE,A17)</f>
        <v>0</v>
      </c>
    </row>
    <row r="18" spans="1:9" ht="6" customHeight="1" x14ac:dyDescent="0.2">
      <c r="A18" s="15"/>
      <c r="B18" s="12"/>
      <c r="C18" s="21"/>
      <c r="D18" s="12"/>
      <c r="E18" s="21"/>
      <c r="F18" s="12"/>
    </row>
    <row r="19" spans="1:9" ht="46.5" customHeight="1" x14ac:dyDescent="0.2">
      <c r="A19" s="567" t="s">
        <v>182</v>
      </c>
      <c r="B19" s="667"/>
      <c r="C19" s="698"/>
      <c r="D19" s="689"/>
      <c r="E19" s="689"/>
      <c r="F19" s="690"/>
      <c r="G19" s="30" t="s">
        <v>126</v>
      </c>
      <c r="I19" s="2" t="b">
        <f>IF(C19="",FALSE,A19)</f>
        <v>0</v>
      </c>
    </row>
    <row r="20" spans="1:9" ht="6" customHeight="1" x14ac:dyDescent="0.2">
      <c r="A20" s="15"/>
      <c r="B20" s="12"/>
      <c r="C20" s="21"/>
      <c r="D20" s="12"/>
      <c r="E20" s="21"/>
      <c r="F20" s="12"/>
      <c r="G20" s="30" t="s">
        <v>128</v>
      </c>
    </row>
    <row r="21" spans="1:9" ht="12.75" customHeight="1" x14ac:dyDescent="0.2">
      <c r="A21" s="567" t="s">
        <v>44</v>
      </c>
      <c r="B21" s="667"/>
      <c r="C21" s="568"/>
      <c r="D21" s="705"/>
      <c r="E21" s="705"/>
      <c r="F21" s="569"/>
      <c r="G21" s="30" t="s">
        <v>127</v>
      </c>
      <c r="I21" s="2" t="b">
        <f>IF(C21="",FALSE,A21)</f>
        <v>0</v>
      </c>
    </row>
    <row r="22" spans="1:9" ht="6" customHeight="1" x14ac:dyDescent="0.2">
      <c r="A22" s="15"/>
      <c r="B22" s="12"/>
      <c r="C22" s="21"/>
      <c r="D22" s="12"/>
      <c r="E22" s="21"/>
      <c r="F22" s="12"/>
    </row>
    <row r="23" spans="1:9" ht="12.75" customHeight="1" x14ac:dyDescent="0.2">
      <c r="A23" s="567" t="s">
        <v>66</v>
      </c>
      <c r="B23" s="667"/>
      <c r="C23" s="700"/>
      <c r="D23" s="696"/>
      <c r="E23" s="694" t="s">
        <v>159</v>
      </c>
      <c r="F23" s="619"/>
      <c r="I23" s="2" t="b">
        <f>IF(C23="",FALSE,A23)</f>
        <v>0</v>
      </c>
    </row>
    <row r="24" spans="1:9" ht="6" customHeight="1" x14ac:dyDescent="0.2">
      <c r="A24" s="15"/>
      <c r="B24" s="12"/>
      <c r="C24" s="21"/>
      <c r="D24" s="12"/>
      <c r="E24" s="21"/>
      <c r="F24" s="12"/>
    </row>
    <row r="25" spans="1:9" ht="12.75" customHeight="1" x14ac:dyDescent="0.2">
      <c r="A25" s="567" t="s">
        <v>334</v>
      </c>
      <c r="B25" s="667"/>
      <c r="C25" s="700"/>
      <c r="D25" s="696"/>
      <c r="I25" s="2" t="b">
        <f>IF(C25="",FALSE,A25)</f>
        <v>0</v>
      </c>
    </row>
    <row r="26" spans="1:9" ht="6" customHeight="1" x14ac:dyDescent="0.2">
      <c r="A26" s="15"/>
      <c r="B26" s="12"/>
      <c r="C26" s="21"/>
      <c r="D26" s="12"/>
      <c r="E26" s="21"/>
      <c r="F26" s="12"/>
    </row>
    <row r="27" spans="1:9" ht="12.75" customHeight="1" x14ac:dyDescent="0.2">
      <c r="A27" s="567" t="s">
        <v>65</v>
      </c>
      <c r="B27" s="667"/>
      <c r="C27" s="700"/>
      <c r="D27" s="696"/>
      <c r="I27" s="2" t="b">
        <f>IF(C27="",FALSE,A27)</f>
        <v>0</v>
      </c>
    </row>
    <row r="28" spans="1:9" ht="3" customHeight="1" x14ac:dyDescent="0.2">
      <c r="A28" s="15"/>
      <c r="B28" s="15"/>
      <c r="C28" s="31"/>
      <c r="D28" s="33"/>
      <c r="I28" s="2"/>
    </row>
    <row r="29" spans="1:9" ht="10.5" customHeight="1" x14ac:dyDescent="0.2">
      <c r="A29" s="15"/>
      <c r="B29" s="12"/>
      <c r="C29" s="21"/>
      <c r="D29" s="12"/>
      <c r="E29" s="21"/>
      <c r="F29" s="12"/>
      <c r="G29" s="7" t="s">
        <v>102</v>
      </c>
      <c r="H29" s="3">
        <f>IF($C$39="Hungary",1,IF($C$39="Croatia",2,0))</f>
        <v>0</v>
      </c>
    </row>
    <row r="30" spans="1:9" ht="19.5" customHeight="1" x14ac:dyDescent="0.2">
      <c r="A30" s="663" t="s">
        <v>75</v>
      </c>
      <c r="B30" s="663"/>
      <c r="C30" s="663"/>
      <c r="D30" s="663"/>
      <c r="E30" s="21"/>
      <c r="F30" s="12"/>
      <c r="G30" s="7" t="s">
        <v>103</v>
      </c>
      <c r="H30" s="3" t="s">
        <v>157</v>
      </c>
    </row>
    <row r="31" spans="1:9" ht="6" customHeight="1" x14ac:dyDescent="0.2">
      <c r="A31" s="15"/>
      <c r="B31" s="12"/>
      <c r="C31" s="21"/>
      <c r="D31" s="12"/>
      <c r="E31" s="21"/>
      <c r="F31" s="12"/>
      <c r="G31" s="3" t="s">
        <v>104</v>
      </c>
      <c r="H31" s="3" t="str">
        <f>IF($H$29=1,G31,IF($H$29=2,G34,"-"))</f>
        <v>-</v>
      </c>
    </row>
    <row r="32" spans="1:9" ht="25.5" customHeight="1" x14ac:dyDescent="0.2">
      <c r="A32" s="567" t="s">
        <v>118</v>
      </c>
      <c r="B32" s="567"/>
      <c r="C32" s="698"/>
      <c r="D32" s="689"/>
      <c r="E32" s="690"/>
      <c r="F32" s="12" t="s">
        <v>119</v>
      </c>
      <c r="G32" s="3" t="s">
        <v>105</v>
      </c>
      <c r="H32" s="3" t="str">
        <f>IF($H$29=1,G32,IF($H$29=2,G35,"-"))</f>
        <v>-</v>
      </c>
      <c r="I32" s="2">
        <f>IF(AND(C32&lt;&gt;"",C34&lt;&gt;"",E34&lt;&gt;"")=TRUE,A32,0)</f>
        <v>0</v>
      </c>
    </row>
    <row r="33" spans="1:9" ht="6" customHeight="1" x14ac:dyDescent="0.2">
      <c r="A33" s="567"/>
      <c r="B33" s="567"/>
      <c r="C33" s="12"/>
      <c r="D33" s="22"/>
      <c r="E33" s="22"/>
      <c r="F33" s="12"/>
      <c r="G33" s="3" t="s">
        <v>106</v>
      </c>
      <c r="H33" s="3" t="str">
        <f>IF($H$29=1,G33,IF($H$29=2,G36,"-"))</f>
        <v>-</v>
      </c>
    </row>
    <row r="34" spans="1:9" ht="25.5" x14ac:dyDescent="0.2">
      <c r="A34" s="567"/>
      <c r="B34" s="567"/>
      <c r="C34" s="23"/>
      <c r="D34" s="12" t="s">
        <v>46</v>
      </c>
      <c r="E34" s="24"/>
      <c r="F34" s="12" t="s">
        <v>45</v>
      </c>
      <c r="G34" s="20" t="s">
        <v>107</v>
      </c>
      <c r="H34" s="3" t="str">
        <f>IF($H$29=1,"-",IF($H$29=2,G37,"-"))</f>
        <v>-</v>
      </c>
    </row>
    <row r="35" spans="1:9" ht="6" customHeight="1" x14ac:dyDescent="0.2">
      <c r="A35" s="15"/>
      <c r="B35" s="15"/>
      <c r="C35" s="31"/>
      <c r="D35" s="12"/>
      <c r="E35" s="32"/>
      <c r="F35" s="12"/>
      <c r="G35" s="20" t="s">
        <v>108</v>
      </c>
      <c r="H35" s="3" t="str">
        <f>IF($H$29=1,"-",IF($H$29=2,G38,"-"))</f>
        <v>-</v>
      </c>
    </row>
    <row r="36" spans="1:9" ht="12.75" customHeight="1" x14ac:dyDescent="0.2">
      <c r="A36" s="15"/>
      <c r="B36" s="15"/>
      <c r="C36" s="23"/>
      <c r="D36" s="12" t="s">
        <v>129</v>
      </c>
      <c r="E36" s="32"/>
      <c r="F36" s="12"/>
      <c r="G36" s="20" t="s">
        <v>109</v>
      </c>
      <c r="H36" s="3" t="str">
        <f>IF($H$29=1,"-",IF($H$29=2,G39,"-"))</f>
        <v>-</v>
      </c>
    </row>
    <row r="37" spans="1:9" ht="6" customHeight="1" x14ac:dyDescent="0.2">
      <c r="A37" s="18"/>
      <c r="B37" s="18"/>
      <c r="C37" s="12"/>
      <c r="D37" s="12"/>
      <c r="E37" s="25"/>
      <c r="F37" s="12"/>
      <c r="G37" s="20" t="s">
        <v>110</v>
      </c>
      <c r="H37" s="3" t="str">
        <f>IF($H$29=1,"-",IF($H$29=2,G40,"-"))</f>
        <v>-</v>
      </c>
    </row>
    <row r="38" spans="1:9" ht="6" customHeight="1" x14ac:dyDescent="0.2">
      <c r="A38" s="15"/>
      <c r="B38" s="12"/>
      <c r="C38" s="12"/>
      <c r="D38" s="12"/>
      <c r="E38" s="12"/>
      <c r="F38" s="12"/>
      <c r="G38" s="20" t="s">
        <v>111</v>
      </c>
      <c r="H38" s="3" t="str">
        <f>IF($H$29=1,"-",IF($H$29=2,G41,"-"))</f>
        <v>-</v>
      </c>
    </row>
    <row r="39" spans="1:9" ht="12.75" customHeight="1" x14ac:dyDescent="0.2">
      <c r="A39" s="567" t="s">
        <v>61</v>
      </c>
      <c r="B39" s="667"/>
      <c r="C39" s="65"/>
      <c r="D39" s="31"/>
      <c r="E39" s="31"/>
      <c r="F39" s="31"/>
      <c r="G39" s="20" t="s">
        <v>113</v>
      </c>
      <c r="H39" s="219">
        <f>IF(OR(LEN(C41)=LEN(H30),LEN(C41)=LEN(H31),LEN(C41)=LEN(H32),LEN(C41)=LEN(H33),LEN(C41)=LEN(H34),LEN(C41)=LEN(H35),LEN(C41)=LEN(H36),LEN(C41)=LEN(H37),LEN(C41)=LEN(H38)),C41,0)</f>
        <v>0</v>
      </c>
      <c r="I39" s="2" t="b">
        <f>IF(C39="",FALSE,A39)</f>
        <v>0</v>
      </c>
    </row>
    <row r="40" spans="1:9" ht="6" customHeight="1" x14ac:dyDescent="0.2">
      <c r="A40" s="15"/>
      <c r="B40" s="12"/>
      <c r="C40" s="12"/>
      <c r="D40" s="12"/>
      <c r="E40" s="12"/>
      <c r="F40" s="12"/>
      <c r="G40" s="20" t="s">
        <v>114</v>
      </c>
      <c r="H40" s="3" t="s">
        <v>115</v>
      </c>
    </row>
    <row r="41" spans="1:9" ht="12.75" customHeight="1" x14ac:dyDescent="0.2">
      <c r="A41" s="567" t="s">
        <v>112</v>
      </c>
      <c r="B41" s="667"/>
      <c r="C41" s="568"/>
      <c r="D41" s="569"/>
      <c r="F41" s="31"/>
      <c r="G41" s="20" t="s">
        <v>116</v>
      </c>
      <c r="H41" s="3" t="s">
        <v>117</v>
      </c>
      <c r="I41" s="220" t="b">
        <f>IF(C41="",FALSE,IF(C41="-",FALSE,IF(H39&lt;&gt;C41,FALSE,A41)))</f>
        <v>0</v>
      </c>
    </row>
    <row r="42" spans="1:9" ht="6" customHeight="1" x14ac:dyDescent="0.2">
      <c r="A42" s="18"/>
      <c r="B42" s="18"/>
      <c r="C42" s="12"/>
      <c r="D42" s="12"/>
      <c r="E42" s="25"/>
      <c r="F42" s="12"/>
      <c r="G42" s="11" t="e">
        <f>MID(#REF!,1,1)</f>
        <v>#REF!</v>
      </c>
    </row>
    <row r="43" spans="1:9" ht="12.75" customHeight="1" x14ac:dyDescent="0.2">
      <c r="A43" s="567" t="s">
        <v>47</v>
      </c>
      <c r="B43" s="667"/>
      <c r="C43" s="699"/>
      <c r="D43" s="701"/>
      <c r="E43" s="701"/>
      <c r="F43" s="702"/>
      <c r="G43" s="7"/>
      <c r="I43" s="2" t="b">
        <f>IF(C43="",FALSE,IF(C43="-",FALSE,A43))</f>
        <v>0</v>
      </c>
    </row>
    <row r="44" spans="1:9" x14ac:dyDescent="0.2">
      <c r="A44" s="15"/>
      <c r="B44" s="12"/>
      <c r="C44" s="35"/>
      <c r="D44" s="34"/>
      <c r="E44" s="34"/>
      <c r="F44" s="34"/>
      <c r="G44" s="7"/>
      <c r="I44" s="2"/>
    </row>
    <row r="45" spans="1:9" ht="10.5" customHeight="1" x14ac:dyDescent="0.2">
      <c r="A45" s="15"/>
      <c r="B45" s="12"/>
      <c r="C45" s="21"/>
      <c r="D45" s="12"/>
      <c r="E45" s="21"/>
      <c r="F45" s="12"/>
      <c r="G45" s="7" t="s">
        <v>102</v>
      </c>
      <c r="H45" s="3">
        <f>IF($C$55="Hungary",1,IF($C$55="Croatia",2,0))</f>
        <v>0</v>
      </c>
    </row>
    <row r="46" spans="1:9" ht="19.5" customHeight="1" x14ac:dyDescent="0.2">
      <c r="A46" s="674" t="s">
        <v>131</v>
      </c>
      <c r="B46" s="674"/>
      <c r="C46" s="674"/>
      <c r="D46" s="674"/>
      <c r="E46" s="21"/>
      <c r="F46" s="12"/>
      <c r="G46" s="7" t="s">
        <v>103</v>
      </c>
      <c r="H46" s="3" t="s">
        <v>157</v>
      </c>
    </row>
    <row r="47" spans="1:9" ht="6" customHeight="1" x14ac:dyDescent="0.2">
      <c r="A47" s="15"/>
      <c r="B47" s="12"/>
      <c r="C47" s="21"/>
      <c r="D47" s="12"/>
      <c r="E47" s="21"/>
      <c r="F47" s="12"/>
      <c r="G47" s="3" t="s">
        <v>104</v>
      </c>
      <c r="H47" s="3" t="str">
        <f>IF($H$45=1,G47,IF($H$45=2,G50,"-"))</f>
        <v>-</v>
      </c>
    </row>
    <row r="48" spans="1:9" ht="25.5" customHeight="1" x14ac:dyDescent="0.2">
      <c r="A48" s="567" t="s">
        <v>118</v>
      </c>
      <c r="B48" s="567"/>
      <c r="C48" s="698"/>
      <c r="D48" s="689"/>
      <c r="E48" s="690"/>
      <c r="F48" s="12" t="s">
        <v>119</v>
      </c>
      <c r="G48" s="3" t="s">
        <v>105</v>
      </c>
      <c r="H48" s="3" t="str">
        <f>IF($H$45=1,G48,IF($H$45=2,G51,"-"))</f>
        <v>-</v>
      </c>
      <c r="I48" s="2">
        <f>IF(AND(C48&lt;&gt;"",C50&lt;&gt;"",E50&lt;&gt;"")=TRUE,A48,0)</f>
        <v>0</v>
      </c>
    </row>
    <row r="49" spans="1:9" ht="6" customHeight="1" x14ac:dyDescent="0.2">
      <c r="A49" s="567"/>
      <c r="B49" s="567"/>
      <c r="C49" s="12"/>
      <c r="D49" s="22"/>
      <c r="E49" s="22"/>
      <c r="F49" s="12"/>
      <c r="G49" s="3" t="s">
        <v>106</v>
      </c>
      <c r="H49" s="3" t="str">
        <f>IF($H$45=1,G49,IF($H$45=2,G52,"-"))</f>
        <v>-</v>
      </c>
    </row>
    <row r="50" spans="1:9" ht="25.5" x14ac:dyDescent="0.2">
      <c r="A50" s="567"/>
      <c r="B50" s="567"/>
      <c r="C50" s="23"/>
      <c r="D50" s="12" t="s">
        <v>46</v>
      </c>
      <c r="E50" s="24"/>
      <c r="F50" s="12" t="s">
        <v>45</v>
      </c>
      <c r="G50" s="20" t="s">
        <v>107</v>
      </c>
      <c r="H50" s="3" t="str">
        <f>IF($H$45=1,"-",IF($H$45=2,G53,"-"))</f>
        <v>-</v>
      </c>
    </row>
    <row r="51" spans="1:9" ht="6" customHeight="1" x14ac:dyDescent="0.2">
      <c r="A51" s="15"/>
      <c r="B51" s="15"/>
      <c r="C51" s="31"/>
      <c r="D51" s="12"/>
      <c r="E51" s="32"/>
      <c r="F51" s="12"/>
      <c r="G51" s="20" t="s">
        <v>108</v>
      </c>
      <c r="H51" s="3" t="str">
        <f>IF($H$45=1,"-",IF($H$45=2,G54,"-"))</f>
        <v>-</v>
      </c>
    </row>
    <row r="52" spans="1:9" ht="12.75" customHeight="1" x14ac:dyDescent="0.2">
      <c r="A52" s="15"/>
      <c r="B52" s="15"/>
      <c r="C52" s="23"/>
      <c r="D52" s="12" t="s">
        <v>129</v>
      </c>
      <c r="E52" s="32"/>
      <c r="F52" s="12"/>
      <c r="G52" s="20" t="s">
        <v>109</v>
      </c>
      <c r="H52" s="3" t="str">
        <f>IF($H$45=1,"-",IF($H$45=2,G55,"-"))</f>
        <v>-</v>
      </c>
    </row>
    <row r="53" spans="1:9" ht="6" customHeight="1" x14ac:dyDescent="0.2">
      <c r="A53" s="18"/>
      <c r="B53" s="18"/>
      <c r="C53" s="12"/>
      <c r="D53" s="12"/>
      <c r="E53" s="25"/>
      <c r="F53" s="12"/>
      <c r="G53" s="20" t="s">
        <v>110</v>
      </c>
      <c r="H53" s="3" t="str">
        <f>IF($H$45=1,"-",IF($H$45=2,G56,"-"))</f>
        <v>-</v>
      </c>
    </row>
    <row r="54" spans="1:9" ht="6" customHeight="1" x14ac:dyDescent="0.2">
      <c r="A54" s="15"/>
      <c r="B54" s="12"/>
      <c r="C54" s="12"/>
      <c r="D54" s="12"/>
      <c r="E54" s="12"/>
      <c r="F54" s="12"/>
      <c r="G54" s="20" t="s">
        <v>111</v>
      </c>
      <c r="H54" s="3" t="str">
        <f>IF($H$45=1,"-",IF($H$45=2,G57,"-"))</f>
        <v>-</v>
      </c>
    </row>
    <row r="55" spans="1:9" ht="12.75" customHeight="1" x14ac:dyDescent="0.2">
      <c r="A55" s="567" t="s">
        <v>61</v>
      </c>
      <c r="B55" s="667"/>
      <c r="C55" s="65"/>
      <c r="D55" s="31"/>
      <c r="E55" s="31"/>
      <c r="F55" s="31"/>
      <c r="G55" s="20" t="s">
        <v>113</v>
      </c>
      <c r="H55" s="219">
        <f>IF(OR(LEN(C57)=LEN(H46),LEN(C57)=LEN(H47),LEN(C57)=LEN(H48),LEN(C57)=LEN(H49),LEN(C57)=LEN(H50),LEN(C57)=LEN(H51),LEN(C57)=LEN(H52),LEN(C57)=LEN(H53),LEN(C57)=LEN(H54)),C57,0)</f>
        <v>0</v>
      </c>
      <c r="I55" s="2" t="b">
        <f>IF(C55="",FALSE,A55)</f>
        <v>0</v>
      </c>
    </row>
    <row r="56" spans="1:9" ht="6" customHeight="1" x14ac:dyDescent="0.2">
      <c r="A56" s="15"/>
      <c r="B56" s="12"/>
      <c r="C56" s="12"/>
      <c r="D56" s="12"/>
      <c r="E56" s="12"/>
      <c r="F56" s="12"/>
      <c r="G56" s="20" t="s">
        <v>114</v>
      </c>
      <c r="H56" s="3" t="s">
        <v>115</v>
      </c>
    </row>
    <row r="57" spans="1:9" ht="12.75" customHeight="1" x14ac:dyDescent="0.2">
      <c r="A57" s="567" t="s">
        <v>112</v>
      </c>
      <c r="B57" s="667"/>
      <c r="C57" s="568"/>
      <c r="D57" s="569"/>
      <c r="F57" s="31"/>
      <c r="G57" s="20" t="s">
        <v>116</v>
      </c>
      <c r="H57" s="3" t="s">
        <v>117</v>
      </c>
      <c r="I57" s="220" t="b">
        <f>IF(C57="",FALSE,IF(C57="-",FALSE,IF(H55&lt;&gt;C57,FALSE,A57)))</f>
        <v>0</v>
      </c>
    </row>
    <row r="58" spans="1:9" ht="6" customHeight="1" x14ac:dyDescent="0.2">
      <c r="A58" s="18"/>
      <c r="B58" s="18"/>
      <c r="C58" s="12"/>
      <c r="D58" s="12"/>
      <c r="E58" s="25"/>
      <c r="F58" s="12"/>
      <c r="G58" s="11" t="e">
        <f>MID(#REF!,1,1)</f>
        <v>#REF!</v>
      </c>
    </row>
    <row r="59" spans="1:9" ht="15" customHeight="1" x14ac:dyDescent="0.2">
      <c r="A59" s="18"/>
      <c r="B59" s="18"/>
      <c r="C59" s="12"/>
      <c r="D59" s="12"/>
      <c r="E59" s="25"/>
      <c r="F59" s="12"/>
      <c r="G59" s="11" t="s">
        <v>130</v>
      </c>
    </row>
    <row r="60" spans="1:9" ht="10.5" customHeight="1" x14ac:dyDescent="0.2">
      <c r="A60" s="15"/>
      <c r="B60" s="12"/>
      <c r="C60" s="21"/>
      <c r="D60" s="12"/>
      <c r="E60" s="21"/>
      <c r="F60" s="12"/>
      <c r="G60" s="7" t="s">
        <v>102</v>
      </c>
      <c r="H60" s="3">
        <f>IF($C$70="Hungary",1,IF($C$70="Croatia",2,0))</f>
        <v>0</v>
      </c>
    </row>
    <row r="61" spans="1:9" ht="19.5" customHeight="1" x14ac:dyDescent="0.2">
      <c r="A61" s="674" t="s">
        <v>74</v>
      </c>
      <c r="B61" s="675"/>
      <c r="C61" s="676"/>
      <c r="D61" s="676"/>
      <c r="E61" s="21"/>
      <c r="F61" s="12"/>
      <c r="G61" s="7" t="s">
        <v>103</v>
      </c>
    </row>
    <row r="62" spans="1:9" ht="6" customHeight="1" x14ac:dyDescent="0.2">
      <c r="A62" s="15"/>
      <c r="B62" s="12"/>
      <c r="C62" s="21"/>
      <c r="D62" s="12"/>
      <c r="E62" s="21"/>
      <c r="F62" s="12"/>
      <c r="G62" s="3" t="s">
        <v>104</v>
      </c>
      <c r="H62" s="3" t="str">
        <f>IF($H$60=1,G62,IF($H$60=2,G65,"-"))</f>
        <v>-</v>
      </c>
    </row>
    <row r="63" spans="1:9" ht="25.5" customHeight="1" x14ac:dyDescent="0.2">
      <c r="A63" s="567" t="s">
        <v>118</v>
      </c>
      <c r="B63" s="567"/>
      <c r="C63" s="698"/>
      <c r="D63" s="680"/>
      <c r="E63" s="681"/>
      <c r="F63" s="12" t="s">
        <v>119</v>
      </c>
      <c r="G63" s="3" t="s">
        <v>105</v>
      </c>
      <c r="H63" s="3" t="str">
        <f>IF($H$60=1,G63,IF($H$60=2,G66,"-"))</f>
        <v>-</v>
      </c>
      <c r="I63" s="2">
        <f>IF(AND(C63&lt;&gt;"",C65&lt;&gt;"",E65&lt;&gt;"")=TRUE,A63,0)</f>
        <v>0</v>
      </c>
    </row>
    <row r="64" spans="1:9" ht="6" customHeight="1" x14ac:dyDescent="0.2">
      <c r="A64" s="567"/>
      <c r="B64" s="567"/>
      <c r="C64" s="12"/>
      <c r="D64" s="22"/>
      <c r="E64" s="22"/>
      <c r="F64" s="12"/>
      <c r="G64" s="3" t="s">
        <v>106</v>
      </c>
      <c r="H64" s="3" t="str">
        <f>IF($H$60=1,G64,IF($H$60=2,G67,"-"))</f>
        <v>-</v>
      </c>
    </row>
    <row r="65" spans="1:9" ht="25.5" x14ac:dyDescent="0.2">
      <c r="A65" s="567"/>
      <c r="B65" s="567"/>
      <c r="C65" s="23"/>
      <c r="D65" s="12" t="s">
        <v>46</v>
      </c>
      <c r="E65" s="24"/>
      <c r="F65" s="12" t="s">
        <v>45</v>
      </c>
      <c r="G65" s="20" t="s">
        <v>107</v>
      </c>
      <c r="H65" s="3" t="str">
        <f>IF($H$60=1,"-",IF($H$60=2,G68,"-"))</f>
        <v>-</v>
      </c>
    </row>
    <row r="66" spans="1:9" ht="6" customHeight="1" x14ac:dyDescent="0.2">
      <c r="A66" s="15"/>
      <c r="B66" s="15"/>
      <c r="C66" s="31"/>
      <c r="D66" s="12"/>
      <c r="E66" s="32"/>
      <c r="F66" s="12"/>
      <c r="G66" s="20" t="s">
        <v>108</v>
      </c>
      <c r="H66" s="3" t="str">
        <f>IF($H$60=1,"-",IF($H$60=2,G69,"-"))</f>
        <v>-</v>
      </c>
    </row>
    <row r="67" spans="1:9" ht="12.75" customHeight="1" x14ac:dyDescent="0.2">
      <c r="A67" s="15"/>
      <c r="B67" s="15"/>
      <c r="C67" s="23"/>
      <c r="D67" s="12" t="s">
        <v>129</v>
      </c>
      <c r="E67" s="32"/>
      <c r="F67" s="12"/>
      <c r="G67" s="20" t="s">
        <v>109</v>
      </c>
      <c r="H67" s="3" t="str">
        <f>IF($H$60=1,"-",IF($H$60=2,G70,"-"))</f>
        <v>-</v>
      </c>
    </row>
    <row r="68" spans="1:9" ht="6" customHeight="1" x14ac:dyDescent="0.2">
      <c r="A68" s="18"/>
      <c r="B68" s="18"/>
      <c r="C68" s="12"/>
      <c r="D68" s="12"/>
      <c r="E68" s="25"/>
      <c r="F68" s="12"/>
      <c r="G68" s="20" t="s">
        <v>110</v>
      </c>
      <c r="H68" s="3" t="str">
        <f>IF($H$60=1,"-",IF($H$60=2,G71,"-"))</f>
        <v>-</v>
      </c>
    </row>
    <row r="69" spans="1:9" ht="6" customHeight="1" x14ac:dyDescent="0.2">
      <c r="A69" s="15"/>
      <c r="B69" s="12"/>
      <c r="C69" s="12"/>
      <c r="D69" s="12"/>
      <c r="E69" s="12"/>
      <c r="F69" s="12"/>
      <c r="G69" s="20" t="s">
        <v>111</v>
      </c>
      <c r="H69" s="3" t="str">
        <f>IF($H$60=1,"-",IF($H$60=2,G72,"-"))</f>
        <v>-</v>
      </c>
    </row>
    <row r="70" spans="1:9" ht="12.75" customHeight="1" x14ac:dyDescent="0.2">
      <c r="A70" s="567" t="s">
        <v>61</v>
      </c>
      <c r="B70" s="677"/>
      <c r="C70" s="65"/>
      <c r="D70" s="31"/>
      <c r="E70" s="31"/>
      <c r="F70" s="31"/>
      <c r="G70" s="20" t="s">
        <v>113</v>
      </c>
      <c r="H70" s="219">
        <f>IF(OR(LEN(C72)=LEN(H61),LEN(C72)=LEN(H62),LEN(C72)=LEN(H63),LEN(C72)=LEN(H64),LEN(C72)=LEN(H65),LEN(C72)=LEN(H66),LEN(C72)=LEN(H67),LEN(C72)=LEN(H68),LEN(C72)=LEN(H69)),C72,0)</f>
        <v>0</v>
      </c>
      <c r="I70" s="2" t="b">
        <f>IF(C70="",FALSE,A70)</f>
        <v>0</v>
      </c>
    </row>
    <row r="71" spans="1:9" ht="6" customHeight="1" x14ac:dyDescent="0.2">
      <c r="A71" s="15"/>
      <c r="B71" s="12"/>
      <c r="C71" s="12"/>
      <c r="D71" s="12"/>
      <c r="E71" s="12"/>
      <c r="F71" s="12"/>
      <c r="G71" s="20" t="s">
        <v>114</v>
      </c>
      <c r="H71" s="3" t="s">
        <v>115</v>
      </c>
    </row>
    <row r="72" spans="1:9" ht="12.75" customHeight="1" x14ac:dyDescent="0.2">
      <c r="A72" s="567" t="s">
        <v>112</v>
      </c>
      <c r="B72" s="677"/>
      <c r="C72" s="568"/>
      <c r="D72" s="672"/>
      <c r="F72" s="31"/>
      <c r="G72" s="20" t="s">
        <v>116</v>
      </c>
      <c r="H72" s="3" t="s">
        <v>117</v>
      </c>
      <c r="I72" s="220" t="b">
        <f>IF(C72="",FALSE,IF(H70&lt;&gt;C72,FALSE,A72))</f>
        <v>0</v>
      </c>
    </row>
    <row r="73" spans="1:9" ht="6" customHeight="1" x14ac:dyDescent="0.2">
      <c r="A73" s="18"/>
      <c r="B73" s="18"/>
      <c r="C73" s="12"/>
      <c r="D73" s="12"/>
      <c r="E73" s="25"/>
      <c r="F73" s="12"/>
      <c r="G73" s="11" t="e">
        <f>MID(#REF!,1,1)</f>
        <v>#REF!</v>
      </c>
    </row>
    <row r="74" spans="1:9" ht="6" customHeight="1" x14ac:dyDescent="0.2">
      <c r="A74" s="18"/>
      <c r="B74" s="18"/>
      <c r="C74" s="12"/>
      <c r="D74" s="12"/>
      <c r="E74" s="25"/>
      <c r="F74" s="12"/>
      <c r="G74" s="11"/>
    </row>
    <row r="75" spans="1:9" ht="19.5" customHeight="1" x14ac:dyDescent="0.2">
      <c r="A75" s="674" t="s">
        <v>83</v>
      </c>
      <c r="B75" s="674"/>
      <c r="C75" s="674"/>
      <c r="D75" s="674"/>
      <c r="E75" s="21"/>
      <c r="F75" s="12"/>
      <c r="G75" s="7"/>
    </row>
    <row r="76" spans="1:9" ht="9" customHeight="1" x14ac:dyDescent="0.2">
      <c r="A76" s="18"/>
      <c r="B76" s="18"/>
      <c r="C76" s="12"/>
      <c r="D76" s="12"/>
      <c r="E76" s="25"/>
      <c r="F76" s="12"/>
      <c r="G76" s="3">
        <f>IF(G78=FALSE,C41,FALSE)</f>
        <v>0</v>
      </c>
    </row>
    <row r="77" spans="1:9" x14ac:dyDescent="0.2">
      <c r="A77" s="567" t="s">
        <v>120</v>
      </c>
      <c r="B77" s="567"/>
      <c r="C77" s="66"/>
      <c r="D77" s="25" t="s">
        <v>121</v>
      </c>
      <c r="E77" s="23"/>
      <c r="F77" s="25" t="s">
        <v>122</v>
      </c>
      <c r="G77" s="3" t="e">
        <f>MATCH(C41,H31:H38,0)</f>
        <v>#N/A</v>
      </c>
      <c r="I77" s="2">
        <f>IF(AND(C77&lt;&gt;"",C79&lt;&gt;"",E77&lt;&gt;"",E79&lt;&gt;"")=TRUE,A77,0)</f>
        <v>0</v>
      </c>
    </row>
    <row r="78" spans="1:9" ht="6" customHeight="1" x14ac:dyDescent="0.2">
      <c r="A78" s="567"/>
      <c r="B78" s="567"/>
      <c r="C78" s="25"/>
      <c r="D78" s="25"/>
      <c r="E78" s="25"/>
      <c r="F78" s="25"/>
      <c r="G78" s="3" t="b">
        <f>ISERR(G77)</f>
        <v>0</v>
      </c>
    </row>
    <row r="79" spans="1:9" x14ac:dyDescent="0.2">
      <c r="A79" s="567"/>
      <c r="B79" s="567"/>
      <c r="C79" s="23"/>
      <c r="D79" s="25" t="s">
        <v>48</v>
      </c>
      <c r="E79" s="23"/>
      <c r="F79" s="25" t="s">
        <v>123</v>
      </c>
      <c r="I79" s="2"/>
    </row>
    <row r="80" spans="1:9" ht="6" customHeight="1" x14ac:dyDescent="0.2">
      <c r="A80" s="26"/>
      <c r="B80" s="26"/>
      <c r="C80" s="25"/>
      <c r="D80" s="25"/>
      <c r="E80" s="25"/>
      <c r="F80" s="25"/>
    </row>
    <row r="81" spans="1:9" ht="12.75" customHeight="1" x14ac:dyDescent="0.2">
      <c r="A81" s="567" t="s">
        <v>403</v>
      </c>
      <c r="B81" s="667"/>
      <c r="C81" s="218"/>
      <c r="D81" s="12" t="s">
        <v>62</v>
      </c>
      <c r="E81" s="215"/>
      <c r="F81" s="25" t="s">
        <v>404</v>
      </c>
      <c r="I81" s="2" t="b">
        <f>IF(C81="",FALSE,A81)</f>
        <v>0</v>
      </c>
    </row>
    <row r="82" spans="1:9" ht="6" customHeight="1" x14ac:dyDescent="0.2">
      <c r="A82" s="15"/>
      <c r="B82" s="12"/>
      <c r="C82" s="12"/>
      <c r="D82" s="12"/>
      <c r="E82" s="25"/>
      <c r="F82" s="25"/>
    </row>
    <row r="83" spans="1:9" x14ac:dyDescent="0.2">
      <c r="A83" s="567" t="s">
        <v>49</v>
      </c>
      <c r="B83" s="667"/>
      <c r="C83" s="673"/>
      <c r="D83" s="703"/>
      <c r="E83" s="703"/>
      <c r="F83" s="704"/>
      <c r="G83" s="7"/>
      <c r="I83" s="2" t="b">
        <f>IF(AND(NOT(ISERROR(SEARCH("@",C83)&gt;0)),C83&lt;&gt;""),A83,FALSE)</f>
        <v>0</v>
      </c>
    </row>
    <row r="84" spans="1:9" ht="15" x14ac:dyDescent="0.2">
      <c r="A84" s="14"/>
      <c r="G84" s="7"/>
    </row>
    <row r="85" spans="1:9" ht="19.5" customHeight="1" x14ac:dyDescent="0.2">
      <c r="A85" s="674" t="s">
        <v>68</v>
      </c>
      <c r="B85" s="674"/>
      <c r="C85" s="674"/>
      <c r="D85" s="674"/>
      <c r="E85" s="21"/>
      <c r="F85" s="12"/>
      <c r="G85" s="7"/>
    </row>
    <row r="86" spans="1:9" ht="9" customHeight="1" x14ac:dyDescent="0.2">
      <c r="A86" s="18"/>
      <c r="B86" s="18"/>
      <c r="C86" s="12"/>
      <c r="D86" s="12"/>
      <c r="E86" s="25"/>
      <c r="F86" s="12"/>
    </row>
    <row r="87" spans="1:9" x14ac:dyDescent="0.2">
      <c r="A87" s="567" t="s">
        <v>120</v>
      </c>
      <c r="B87" s="567"/>
      <c r="C87" s="66"/>
      <c r="D87" s="25" t="s">
        <v>121</v>
      </c>
      <c r="E87" s="23"/>
      <c r="F87" s="25" t="s">
        <v>122</v>
      </c>
      <c r="I87" s="2">
        <f>IF(AND(C87&lt;&gt;"",C89&lt;&gt;"",E87&lt;&gt;"",E89&lt;&gt;"")=TRUE,A87,0)</f>
        <v>0</v>
      </c>
    </row>
    <row r="88" spans="1:9" ht="6" customHeight="1" x14ac:dyDescent="0.2">
      <c r="A88" s="567"/>
      <c r="B88" s="567"/>
      <c r="C88" s="25"/>
      <c r="D88" s="25"/>
      <c r="E88" s="25"/>
      <c r="F88" s="25"/>
    </row>
    <row r="89" spans="1:9" x14ac:dyDescent="0.2">
      <c r="A89" s="567"/>
      <c r="B89" s="567"/>
      <c r="C89" s="23"/>
      <c r="D89" s="25" t="s">
        <v>48</v>
      </c>
      <c r="E89" s="23"/>
      <c r="F89" s="25" t="s">
        <v>123</v>
      </c>
      <c r="I89" s="2"/>
    </row>
    <row r="90" spans="1:9" ht="6" customHeight="1" x14ac:dyDescent="0.2">
      <c r="A90" s="26"/>
      <c r="B90" s="26"/>
      <c r="C90" s="25"/>
      <c r="D90" s="25"/>
      <c r="E90" s="25"/>
      <c r="F90" s="25"/>
    </row>
    <row r="91" spans="1:9" ht="12.75" customHeight="1" x14ac:dyDescent="0.2">
      <c r="A91" s="567" t="s">
        <v>403</v>
      </c>
      <c r="B91" s="667"/>
      <c r="C91" s="218"/>
      <c r="D91" s="12" t="s">
        <v>62</v>
      </c>
      <c r="E91" s="215"/>
      <c r="F91" s="25" t="s">
        <v>404</v>
      </c>
      <c r="I91" s="2" t="b">
        <f>IF(C91="",FALSE,A91)</f>
        <v>0</v>
      </c>
    </row>
    <row r="92" spans="1:9" ht="6" customHeight="1" x14ac:dyDescent="0.2">
      <c r="A92" s="15"/>
      <c r="B92" s="12"/>
      <c r="C92" s="12"/>
      <c r="D92" s="12"/>
      <c r="E92" s="25"/>
      <c r="F92" s="25"/>
    </row>
    <row r="93" spans="1:9" x14ac:dyDescent="0.2">
      <c r="A93" s="567" t="s">
        <v>49</v>
      </c>
      <c r="B93" s="667"/>
      <c r="C93" s="673"/>
      <c r="D93" s="703"/>
      <c r="E93" s="703"/>
      <c r="F93" s="704"/>
      <c r="G93" s="7"/>
      <c r="I93" s="2" t="b">
        <f>IF(AND(NOT(ISERROR(SEARCH("@",C93)&gt;0)),C93&lt;&gt;""),A93,FALSE)</f>
        <v>0</v>
      </c>
    </row>
    <row r="94" spans="1:9" ht="15" x14ac:dyDescent="0.2">
      <c r="A94" s="14"/>
      <c r="G94" s="7"/>
    </row>
    <row r="95" spans="1:9" ht="15" x14ac:dyDescent="0.2">
      <c r="A95" s="14"/>
    </row>
    <row r="96" spans="1:9" ht="12.75" customHeight="1" x14ac:dyDescent="0.2">
      <c r="A96" s="674" t="s">
        <v>70</v>
      </c>
      <c r="B96" s="674"/>
      <c r="C96" s="674"/>
      <c r="D96" s="674"/>
      <c r="G96" s="7">
        <v>2014</v>
      </c>
    </row>
    <row r="97" spans="1:10" ht="15" x14ac:dyDescent="0.2">
      <c r="A97" s="14"/>
      <c r="G97" s="7">
        <v>2015</v>
      </c>
    </row>
    <row r="98" spans="1:10" ht="12.75" customHeight="1" x14ac:dyDescent="0.2">
      <c r="A98" s="567" t="s">
        <v>40</v>
      </c>
      <c r="B98" s="567"/>
      <c r="C98" s="567"/>
      <c r="E98" s="65"/>
      <c r="F98" s="7" t="s">
        <v>125</v>
      </c>
      <c r="G98" s="7">
        <v>2016</v>
      </c>
      <c r="I98" s="2" t="b">
        <f>IF(E98="",FALSE,A98)</f>
        <v>0</v>
      </c>
    </row>
    <row r="99" spans="1:10" ht="6" customHeight="1" x14ac:dyDescent="0.2"/>
    <row r="100" spans="1:10" ht="12.75" customHeight="1" x14ac:dyDescent="0.2">
      <c r="A100" s="15" t="s">
        <v>71</v>
      </c>
      <c r="B100" s="28"/>
      <c r="C100" s="216"/>
      <c r="D100" s="7" t="s">
        <v>132</v>
      </c>
      <c r="E100" s="40" t="s">
        <v>135</v>
      </c>
      <c r="F100" s="65"/>
      <c r="G100" s="7" t="s">
        <v>59</v>
      </c>
      <c r="H100" s="3" t="b">
        <f>ISBLANK(F100)</f>
        <v>1</v>
      </c>
      <c r="I100" s="2" t="b">
        <f>IF(C100="",FALSE,A100)</f>
        <v>0</v>
      </c>
      <c r="J100" s="2" t="b">
        <f>IF(F100="",FALSE,E100)</f>
        <v>0</v>
      </c>
    </row>
    <row r="101" spans="1:10" ht="6" customHeight="1" x14ac:dyDescent="0.25">
      <c r="A101" s="27"/>
      <c r="G101" s="7" t="s">
        <v>133</v>
      </c>
    </row>
    <row r="102" spans="1:10" ht="12.75" customHeight="1" x14ac:dyDescent="0.2">
      <c r="A102" s="567" t="s">
        <v>72</v>
      </c>
      <c r="B102" s="567"/>
      <c r="C102" s="567"/>
      <c r="E102" s="217"/>
      <c r="F102" s="38" t="str">
        <f>IF(H$100=FALSE,F$100,"")</f>
        <v/>
      </c>
      <c r="G102" s="7" t="s">
        <v>134</v>
      </c>
      <c r="I102" s="2" t="b">
        <f>IF(E102="",FALSE,A102)</f>
        <v>0</v>
      </c>
    </row>
    <row r="103" spans="1:10" ht="6" customHeight="1" x14ac:dyDescent="0.2">
      <c r="A103" s="15"/>
      <c r="B103" s="15"/>
      <c r="C103" s="36"/>
      <c r="E103" s="37"/>
      <c r="F103" s="38"/>
      <c r="G103" s="7" t="s">
        <v>130</v>
      </c>
      <c r="I103" s="2"/>
    </row>
    <row r="104" spans="1:10" ht="12.75" customHeight="1" x14ac:dyDescent="0.2">
      <c r="A104" s="567" t="s">
        <v>29</v>
      </c>
      <c r="B104" s="567"/>
      <c r="C104" s="567"/>
      <c r="E104" s="217"/>
      <c r="F104" s="38" t="str">
        <f>IF(H$100=FALSE,F$100,"")</f>
        <v/>
      </c>
      <c r="G104" s="7"/>
      <c r="I104" s="2" t="b">
        <f>IF(E104="",FALSE,A104)</f>
        <v>0</v>
      </c>
    </row>
    <row r="105" spans="1:10" ht="6" customHeight="1" x14ac:dyDescent="0.2">
      <c r="F105" s="38"/>
    </row>
    <row r="106" spans="1:10" ht="12.75" customHeight="1" x14ac:dyDescent="0.2">
      <c r="A106" s="567" t="s">
        <v>73</v>
      </c>
      <c r="B106" s="567"/>
      <c r="C106" s="567"/>
      <c r="E106" s="217"/>
      <c r="F106" s="38" t="str">
        <f>IF(H$100=FALSE,F$100,"")</f>
        <v/>
      </c>
      <c r="G106" s="7"/>
      <c r="I106" s="2" t="b">
        <f>IF(E106="",FALSE,A106)</f>
        <v>0</v>
      </c>
    </row>
    <row r="107" spans="1:10" ht="6" customHeight="1" x14ac:dyDescent="0.2"/>
    <row r="108" spans="1:10" ht="12.75" customHeight="1" x14ac:dyDescent="0.2">
      <c r="A108" s="567" t="s">
        <v>164</v>
      </c>
      <c r="B108" s="567"/>
      <c r="C108" s="567"/>
      <c r="D108" s="567"/>
      <c r="E108" s="667"/>
      <c r="F108" s="210"/>
      <c r="I108" s="2" t="b">
        <f>IF(F108="",FALSE,A108)</f>
        <v>0</v>
      </c>
    </row>
  </sheetData>
  <sheetProtection password="F58B" sheet="1" selectLockedCells="1"/>
  <mergeCells count="63">
    <mergeCell ref="A9:B9"/>
    <mergeCell ref="C9:F9"/>
    <mergeCell ref="J1:K1"/>
    <mergeCell ref="A2:F2"/>
    <mergeCell ref="A5:B5"/>
    <mergeCell ref="C5:F5"/>
    <mergeCell ref="A7:B7"/>
    <mergeCell ref="C7:F7"/>
    <mergeCell ref="A17:B17"/>
    <mergeCell ref="A19:B19"/>
    <mergeCell ref="C19:F19"/>
    <mergeCell ref="A11:B11"/>
    <mergeCell ref="A13:B13"/>
    <mergeCell ref="C13:D13"/>
    <mergeCell ref="A15:B15"/>
    <mergeCell ref="C15:D15"/>
    <mergeCell ref="E11:F14"/>
    <mergeCell ref="D17:E17"/>
    <mergeCell ref="A21:B21"/>
    <mergeCell ref="C21:F21"/>
    <mergeCell ref="A30:D30"/>
    <mergeCell ref="A32:B34"/>
    <mergeCell ref="C32:E32"/>
    <mergeCell ref="A23:B23"/>
    <mergeCell ref="C23:D23"/>
    <mergeCell ref="A25:B25"/>
    <mergeCell ref="C25:D25"/>
    <mergeCell ref="A27:B27"/>
    <mergeCell ref="C27:D27"/>
    <mergeCell ref="E23:F23"/>
    <mergeCell ref="A39:B39"/>
    <mergeCell ref="A41:B41"/>
    <mergeCell ref="C41:D41"/>
    <mergeCell ref="A55:B55"/>
    <mergeCell ref="A57:B57"/>
    <mergeCell ref="C57:D57"/>
    <mergeCell ref="A83:B83"/>
    <mergeCell ref="C83:F83"/>
    <mergeCell ref="A85:D85"/>
    <mergeCell ref="A96:D96"/>
    <mergeCell ref="A93:B93"/>
    <mergeCell ref="C93:F93"/>
    <mergeCell ref="A75:D75"/>
    <mergeCell ref="A77:B79"/>
    <mergeCell ref="A70:B70"/>
    <mergeCell ref="A72:B72"/>
    <mergeCell ref="C72:D72"/>
    <mergeCell ref="A63:B65"/>
    <mergeCell ref="C63:E63"/>
    <mergeCell ref="A106:C106"/>
    <mergeCell ref="A108:E108"/>
    <mergeCell ref="A43:B43"/>
    <mergeCell ref="C43:F43"/>
    <mergeCell ref="A46:D46"/>
    <mergeCell ref="A48:B50"/>
    <mergeCell ref="C48:E48"/>
    <mergeCell ref="A91:B91"/>
    <mergeCell ref="A87:B89"/>
    <mergeCell ref="A102:C102"/>
    <mergeCell ref="A104:C104"/>
    <mergeCell ref="A98:C98"/>
    <mergeCell ref="A61:D61"/>
    <mergeCell ref="A81:B81"/>
  </mergeCells>
  <phoneticPr fontId="3" type="noConversion"/>
  <conditionalFormatting sqref="A32:B36">
    <cfRule type="cellIs" dxfId="370" priority="39" stopIfTrue="1" operator="notEqual">
      <formula>$I$32</formula>
    </cfRule>
  </conditionalFormatting>
  <conditionalFormatting sqref="A77:B79 A87:B89">
    <cfRule type="cellIs" dxfId="369" priority="38" stopIfTrue="1" operator="notEqual">
      <formula>$I$77</formula>
    </cfRule>
  </conditionalFormatting>
  <conditionalFormatting sqref="A83">
    <cfRule type="cellIs" dxfId="368" priority="37" stopIfTrue="1" operator="notEqual">
      <formula>$I$83</formula>
    </cfRule>
  </conditionalFormatting>
  <conditionalFormatting sqref="A15">
    <cfRule type="cellIs" dxfId="367" priority="36" stopIfTrue="1" operator="notEqual">
      <formula>$I$15</formula>
    </cfRule>
  </conditionalFormatting>
  <conditionalFormatting sqref="A17">
    <cfRule type="cellIs" dxfId="366" priority="35" stopIfTrue="1" operator="notEqual">
      <formula>$I$17</formula>
    </cfRule>
  </conditionalFormatting>
  <conditionalFormatting sqref="A23">
    <cfRule type="cellIs" dxfId="365" priority="34" stopIfTrue="1" operator="notEqual">
      <formula>$I$23</formula>
    </cfRule>
  </conditionalFormatting>
  <conditionalFormatting sqref="A25">
    <cfRule type="cellIs" dxfId="364" priority="33" stopIfTrue="1" operator="notEqual">
      <formula>$I$25</formula>
    </cfRule>
  </conditionalFormatting>
  <conditionalFormatting sqref="A27:A28 B28">
    <cfRule type="cellIs" dxfId="363" priority="32" stopIfTrue="1" operator="notEqual">
      <formula>$I$27</formula>
    </cfRule>
  </conditionalFormatting>
  <conditionalFormatting sqref="A43:A45 A47:B47 B44:B45 A56:B56 A53:B54 A58:B60 A73:B74 A71:B71 A62:B62 A68:B69">
    <cfRule type="cellIs" dxfId="362" priority="31" stopIfTrue="1" operator="notEqual">
      <formula>$I$43</formula>
    </cfRule>
  </conditionalFormatting>
  <conditionalFormatting sqref="A48:B50">
    <cfRule type="cellIs" dxfId="361" priority="30" stopIfTrue="1" operator="notEqual">
      <formula>$I$48</formula>
    </cfRule>
  </conditionalFormatting>
  <conditionalFormatting sqref="A55">
    <cfRule type="cellIs" dxfId="360" priority="29" stopIfTrue="1" operator="notEqual">
      <formula>$I$55</formula>
    </cfRule>
  </conditionalFormatting>
  <conditionalFormatting sqref="A57">
    <cfRule type="cellIs" dxfId="359" priority="28" stopIfTrue="1" operator="notEqual">
      <formula>$I$57</formula>
    </cfRule>
  </conditionalFormatting>
  <conditionalFormatting sqref="A63:B65">
    <cfRule type="cellIs" dxfId="358" priority="27" stopIfTrue="1" operator="notEqual">
      <formula>$I$63</formula>
    </cfRule>
  </conditionalFormatting>
  <conditionalFormatting sqref="A70:B70">
    <cfRule type="cellIs" dxfId="357" priority="26" stopIfTrue="1" operator="notEqual">
      <formula>$I$70</formula>
    </cfRule>
  </conditionalFormatting>
  <conditionalFormatting sqref="A72:B72">
    <cfRule type="cellIs" dxfId="356" priority="25" stopIfTrue="1" operator="notEqual">
      <formula>$I$72</formula>
    </cfRule>
  </conditionalFormatting>
  <conditionalFormatting sqref="A98">
    <cfRule type="cellIs" dxfId="355" priority="24" stopIfTrue="1" operator="notEqual">
      <formula>$I$98</formula>
    </cfRule>
  </conditionalFormatting>
  <conditionalFormatting sqref="A100">
    <cfRule type="cellIs" dxfId="354" priority="23" stopIfTrue="1" operator="notEqual">
      <formula>$I$100</formula>
    </cfRule>
  </conditionalFormatting>
  <conditionalFormatting sqref="E100">
    <cfRule type="cellIs" dxfId="353" priority="22" stopIfTrue="1" operator="notEqual">
      <formula>$J$100</formula>
    </cfRule>
  </conditionalFormatting>
  <conditionalFormatting sqref="A102">
    <cfRule type="cellIs" dxfId="352" priority="21" stopIfTrue="1" operator="notEqual">
      <formula>$I$102</formula>
    </cfRule>
  </conditionalFormatting>
  <conditionalFormatting sqref="A104">
    <cfRule type="cellIs" dxfId="351" priority="20" stopIfTrue="1" operator="notEqual">
      <formula>$I$104</formula>
    </cfRule>
  </conditionalFormatting>
  <conditionalFormatting sqref="A106">
    <cfRule type="cellIs" dxfId="350" priority="19" stopIfTrue="1" operator="notEqual">
      <formula>$I$106</formula>
    </cfRule>
  </conditionalFormatting>
  <conditionalFormatting sqref="A108">
    <cfRule type="cellIs" dxfId="349" priority="18" stopIfTrue="1" operator="notEqual">
      <formula>$I$108</formula>
    </cfRule>
  </conditionalFormatting>
  <conditionalFormatting sqref="A93">
    <cfRule type="cellIs" dxfId="348" priority="16" stopIfTrue="1" operator="notEqual">
      <formula>$I$93</formula>
    </cfRule>
  </conditionalFormatting>
  <conditionalFormatting sqref="E11:F14">
    <cfRule type="cellIs" dxfId="347" priority="15" stopIfTrue="1" operator="equal">
      <formula>$K$11</formula>
    </cfRule>
  </conditionalFormatting>
  <conditionalFormatting sqref="A81">
    <cfRule type="cellIs" dxfId="346" priority="14" stopIfTrue="1" operator="notEqual">
      <formula>$I$81</formula>
    </cfRule>
  </conditionalFormatting>
  <conditionalFormatting sqref="A91">
    <cfRule type="cellIs" dxfId="345" priority="13" stopIfTrue="1" operator="notEqual">
      <formula>$I$91</formula>
    </cfRule>
  </conditionalFormatting>
  <conditionalFormatting sqref="A5">
    <cfRule type="cellIs" dxfId="344" priority="12" stopIfTrue="1" operator="notEqual">
      <formula>$I$5</formula>
    </cfRule>
  </conditionalFormatting>
  <conditionalFormatting sqref="A7">
    <cfRule type="cellIs" dxfId="343" priority="11" stopIfTrue="1" operator="notEqual">
      <formula>$I$7</formula>
    </cfRule>
  </conditionalFormatting>
  <conditionalFormatting sqref="A9">
    <cfRule type="cellIs" dxfId="342" priority="10" stopIfTrue="1" operator="notEqual">
      <formula>$I$9</formula>
    </cfRule>
  </conditionalFormatting>
  <conditionalFormatting sqref="A19">
    <cfRule type="cellIs" dxfId="341" priority="9" stopIfTrue="1" operator="notEqual">
      <formula>$I$19</formula>
    </cfRule>
  </conditionalFormatting>
  <conditionalFormatting sqref="A21">
    <cfRule type="cellIs" dxfId="340" priority="8" stopIfTrue="1" operator="notEqual">
      <formula>$I$21</formula>
    </cfRule>
  </conditionalFormatting>
  <conditionalFormatting sqref="A11">
    <cfRule type="cellIs" dxfId="339" priority="7" stopIfTrue="1" operator="notEqual">
      <formula>$I$11</formula>
    </cfRule>
  </conditionalFormatting>
  <conditionalFormatting sqref="A13">
    <cfRule type="cellIs" dxfId="338" priority="6" stopIfTrue="1" operator="notEqual">
      <formula>$I$13</formula>
    </cfRule>
  </conditionalFormatting>
  <conditionalFormatting sqref="A39">
    <cfRule type="cellIs" dxfId="337" priority="5" stopIfTrue="1" operator="notEqual">
      <formula>$I$39</formula>
    </cfRule>
  </conditionalFormatting>
  <conditionalFormatting sqref="A41">
    <cfRule type="cellIs" dxfId="336" priority="4" stopIfTrue="1" operator="notEqual">
      <formula>$I$41</formula>
    </cfRule>
  </conditionalFormatting>
  <conditionalFormatting sqref="C41">
    <cfRule type="cellIs" dxfId="335" priority="3" stopIfTrue="1" operator="notEqual">
      <formula>$H$39</formula>
    </cfRule>
  </conditionalFormatting>
  <conditionalFormatting sqref="C57">
    <cfRule type="cellIs" dxfId="334" priority="2" stopIfTrue="1" operator="notEqual">
      <formula>$H$55</formula>
    </cfRule>
  </conditionalFormatting>
  <conditionalFormatting sqref="C72:D72">
    <cfRule type="cellIs" dxfId="333" priority="1" stopIfTrue="1" operator="notEqual">
      <formula>$H$70</formula>
    </cfRule>
  </conditionalFormatting>
  <dataValidations count="32">
    <dataValidation type="decimal" allowBlank="1" showInputMessage="1" showErrorMessage="1" sqref="F108">
      <formula1>0</formula1>
      <formula2>500000</formula2>
    </dataValidation>
    <dataValidation type="whole" allowBlank="1" showInputMessage="1" showErrorMessage="1" sqref="C36 C52 C67">
      <formula1>0</formula1>
      <formula2>100000</formula2>
    </dataValidation>
    <dataValidation type="textLength" operator="lessThan" allowBlank="1" showInputMessage="1" showErrorMessage="1" sqref="C43:C44 D44:F44">
      <formula1>40</formula1>
    </dataValidation>
    <dataValidation type="textLength" operator="lessThan" allowBlank="1" showInputMessage="1" showErrorMessage="1" sqref="C28:D28">
      <formula1>25</formula1>
    </dataValidation>
    <dataValidation type="textLength" operator="lessThan" allowBlank="1" showInputMessage="1" showErrorMessage="1" sqref="C19">
      <formula1>150</formula1>
    </dataValidation>
    <dataValidation type="whole" allowBlank="1" showInputMessage="1" showErrorMessage="1" sqref="C18">
      <formula1>1000</formula1>
      <formula2>2009</formula2>
    </dataValidation>
    <dataValidation type="list" allowBlank="1" showInputMessage="1" showErrorMessage="1" sqref="C15">
      <formula1>$H$15:$H$16</formula1>
    </dataValidation>
    <dataValidation type="textLength" allowBlank="1" showInputMessage="1" showErrorMessage="1" sqref="C6:F6 C8:F8">
      <formula1>6</formula1>
      <formula2>150</formula2>
    </dataValidation>
    <dataValidation type="list" allowBlank="1" showInputMessage="1" showErrorMessage="1" sqref="C55 C39">
      <formula1>$G$1:$G$2</formula1>
    </dataValidation>
    <dataValidation type="textLength" allowBlank="1" showInputMessage="1" showErrorMessage="1" sqref="C48 C32 C63:E63">
      <formula1>1</formula1>
      <formula2>100</formula2>
    </dataValidation>
    <dataValidation type="textLength" allowBlank="1" showInputMessage="1" showErrorMessage="1" sqref="E34:E37 E59 E73:E76 E50:E53 E85:E86 E42 E65:E68">
      <formula1>2</formula1>
      <formula2>50</formula2>
    </dataValidation>
    <dataValidation type="whole" operator="equal" allowBlank="1" showInputMessage="1" showErrorMessage="1" sqref="C37 C76 C86 C53 C58:C59 C42 C68 C73:C74">
      <formula1>4</formula1>
    </dataValidation>
    <dataValidation type="textLength" allowBlank="1" showInputMessage="1" showErrorMessage="1" sqref="C49:E49 C33:E33 C64:E64">
      <formula1>4</formula1>
      <formula2>100</formula2>
    </dataValidation>
    <dataValidation type="textLength" allowBlank="1" showInputMessage="1" showErrorMessage="1" sqref="C9 E78 E88 C80 C90">
      <formula1>1</formula1>
      <formula2>20</formula2>
    </dataValidation>
    <dataValidation type="textLength" allowBlank="1" showInputMessage="1" showErrorMessage="1" sqref="E80 E90">
      <formula1>1</formula1>
      <formula2>30</formula2>
    </dataValidation>
    <dataValidation type="textLength" allowBlank="1" showInputMessage="1" showErrorMessage="1" sqref="C54:F54 C10:F10 C38:F38 C69:F69">
      <formula1>3</formula1>
      <formula2>50</formula2>
    </dataValidation>
    <dataValidation type="whole" allowBlank="1" showInputMessage="1" showErrorMessage="1" sqref="C51 C35 C66">
      <formula1>1000</formula1>
      <formula2>9999</formula2>
    </dataValidation>
    <dataValidation type="decimal" allowBlank="1" showInputMessage="1" showErrorMessage="1" sqref="C100">
      <formula1>0.1</formula1>
      <formula2>99999999</formula2>
    </dataValidation>
    <dataValidation type="whole" allowBlank="1" showInputMessage="1" showErrorMessage="1" sqref="C50 C34">
      <formula1>1000</formula1>
      <formula2>99999</formula2>
    </dataValidation>
    <dataValidation type="textLength" operator="lessThanOrEqual" allowBlank="1" showInputMessage="1" showErrorMessage="1" sqref="C23 C27 C25">
      <formula1>25</formula1>
    </dataValidation>
    <dataValidation type="list" allowBlank="1" showInputMessage="1" showErrorMessage="1" sqref="F100">
      <formula1>$G$100:$G$103</formula1>
    </dataValidation>
    <dataValidation type="list" allowBlank="1" showInputMessage="1" showErrorMessage="1" sqref="E98">
      <formula1>$G$96:$G$98</formula1>
    </dataValidation>
    <dataValidation type="list" allowBlank="1" showInputMessage="1" showErrorMessage="1" sqref="C72:D72">
      <formula1>$H$62:$H$69</formula1>
    </dataValidation>
    <dataValidation type="list" allowBlank="1" showInputMessage="1" showErrorMessage="1" sqref="C70">
      <formula1>$G$59:$G$61</formula1>
    </dataValidation>
    <dataValidation type="list" allowBlank="1" showInputMessage="1" showErrorMessage="1" sqref="C41">
      <formula1>$H$30:$H$38</formula1>
    </dataValidation>
    <dataValidation type="list" allowBlank="1" showInputMessage="1" showErrorMessage="1" sqref="C77 C87">
      <formula1>$H$12:$H$13</formula1>
    </dataValidation>
    <dataValidation type="list" allowBlank="1" showInputMessage="1" showErrorMessage="1" sqref="C21">
      <formula1>$J$2:$J$11</formula1>
    </dataValidation>
    <dataValidation type="textLength" allowBlank="1" showInputMessage="1" showErrorMessage="1" sqref="C5 C7">
      <formula1>1</formula1>
      <formula2>150</formula2>
    </dataValidation>
    <dataValidation type="list" allowBlank="1" showInputMessage="1" showErrorMessage="1" sqref="C57">
      <formula1>$H$46:$H$54</formula1>
    </dataValidation>
    <dataValidation type="whole" allowBlank="1" showInputMessage="1" showErrorMessage="1" sqref="C65">
      <formula1>0</formula1>
      <formula2>99999</formula2>
    </dataValidation>
    <dataValidation type="textLength" operator="lessThanOrEqual" allowBlank="1" showInputMessage="1" showErrorMessage="1" sqref="C17">
      <formula1>15</formula1>
    </dataValidation>
    <dataValidation type="textLength" operator="lessThanOrEqual" allowBlank="1" showInputMessage="1" showErrorMessage="1" sqref="E77 E79 C79 E87 E89 C89">
      <formula1>30</formula1>
    </dataValidation>
  </dataValidations>
  <pageMargins left="0.98425196850393704" right="0.39370078740157483" top="0.74803149606299213" bottom="0.74803149606299213" header="0.31496062992125984" footer="0.31496062992125984"/>
  <pageSetup orientation="landscape" horizontalDpi="300" verticalDpi="300"/>
  <headerFooter>
    <oddFooter xml:space="preserve">&amp;C&amp;"Arial,Italic"&amp;8&amp;A&amp;R&amp;"Arial,Italic"&amp;8Page &amp;P of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30</vt:i4>
      </vt:variant>
      <vt:variant>
        <vt:lpstr>Névvel ellátott tartományok</vt:lpstr>
      </vt:variant>
      <vt:variant>
        <vt:i4>44</vt:i4>
      </vt:variant>
    </vt:vector>
  </HeadingPairs>
  <TitlesOfParts>
    <vt:vector size="74" baseType="lpstr">
      <vt:lpstr>0. Consultation</vt:lpstr>
      <vt:lpstr>1. General Data</vt:lpstr>
      <vt:lpstr>2. LB data</vt:lpstr>
      <vt:lpstr>2. B1 data</vt:lpstr>
      <vt:lpstr>2. B2 data</vt:lpstr>
      <vt:lpstr>2. B3 data</vt:lpstr>
      <vt:lpstr>2. B4 data</vt:lpstr>
      <vt:lpstr>2. B5 data</vt:lpstr>
      <vt:lpstr>2. B6 data</vt:lpstr>
      <vt:lpstr>2. B7 data</vt:lpstr>
      <vt:lpstr>3. Supporting stakeholders</vt:lpstr>
      <vt:lpstr>4. Project summary</vt:lpstr>
      <vt:lpstr>5. Project description</vt:lpstr>
      <vt:lpstr>6. Project Activities</vt:lpstr>
      <vt:lpstr>7. Indicators</vt:lpstr>
      <vt:lpstr>8 LB budget</vt:lpstr>
      <vt:lpstr>8. B1 budget</vt:lpstr>
      <vt:lpstr>8. B2 budget</vt:lpstr>
      <vt:lpstr>8. B3 budget</vt:lpstr>
      <vt:lpstr>8. B4 budget</vt:lpstr>
      <vt:lpstr>8. B5 budget</vt:lpstr>
      <vt:lpstr>8. B6 budget</vt:lpstr>
      <vt:lpstr>8. B7 budget</vt:lpstr>
      <vt:lpstr>9. Project budget summary</vt:lpstr>
      <vt:lpstr>10. Sources of funding</vt:lpstr>
      <vt:lpstr>11. Payment forecast</vt:lpstr>
      <vt:lpstr>12. Area of impl.,Permits,Works</vt:lpstr>
      <vt:lpstr>13. Information and publicity</vt:lpstr>
      <vt:lpstr>14. Project staff</vt:lpstr>
      <vt:lpstr>15. Certification</vt:lpstr>
      <vt:lpstr>'12. Area of impl.,Permits,Works'!Nyomtatási_cím</vt:lpstr>
      <vt:lpstr>'13. Information and publicity'!Nyomtatási_cím</vt:lpstr>
      <vt:lpstr>'14. Project staff'!Nyomtatási_cím</vt:lpstr>
      <vt:lpstr>'2. B1 data'!Nyomtatási_cím</vt:lpstr>
      <vt:lpstr>'2. B2 data'!Nyomtatási_cím</vt:lpstr>
      <vt:lpstr>'2. B3 data'!Nyomtatási_cím</vt:lpstr>
      <vt:lpstr>'2. B4 data'!Nyomtatási_cím</vt:lpstr>
      <vt:lpstr>'2. B5 data'!Nyomtatási_cím</vt:lpstr>
      <vt:lpstr>'2. B6 data'!Nyomtatási_cím</vt:lpstr>
      <vt:lpstr>'2. B7 data'!Nyomtatási_cím</vt:lpstr>
      <vt:lpstr>'2. LB data'!Nyomtatási_cím</vt:lpstr>
      <vt:lpstr>'3. Supporting stakeholders'!Nyomtatási_cím</vt:lpstr>
      <vt:lpstr>'4. Project summary'!Nyomtatási_cím</vt:lpstr>
      <vt:lpstr>'5. Project description'!Nyomtatási_cím</vt:lpstr>
      <vt:lpstr>'6. Project Activities'!Nyomtatási_cím</vt:lpstr>
      <vt:lpstr>'7. Indicators'!Nyomtatási_cím</vt:lpstr>
      <vt:lpstr>'0. Consultation'!Nyomtatási_terület</vt:lpstr>
      <vt:lpstr>'10. Sources of funding'!Nyomtatási_terület</vt:lpstr>
      <vt:lpstr>'11. Payment forecast'!Nyomtatási_terület</vt:lpstr>
      <vt:lpstr>'12. Area of impl.,Permits,Works'!Nyomtatási_terület</vt:lpstr>
      <vt:lpstr>'13. Information and publicity'!Nyomtatási_terület</vt:lpstr>
      <vt:lpstr>'14. Project staff'!Nyomtatási_terület</vt:lpstr>
      <vt:lpstr>'15. Certification'!Nyomtatási_terület</vt:lpstr>
      <vt:lpstr>'2. B1 data'!Nyomtatási_terület</vt:lpstr>
      <vt:lpstr>'2. B2 data'!Nyomtatási_terület</vt:lpstr>
      <vt:lpstr>'2. B3 data'!Nyomtatási_terület</vt:lpstr>
      <vt:lpstr>'2. B4 data'!Nyomtatási_terület</vt:lpstr>
      <vt:lpstr>'2. B5 data'!Nyomtatási_terület</vt:lpstr>
      <vt:lpstr>'2. B6 data'!Nyomtatási_terület</vt:lpstr>
      <vt:lpstr>'2. B7 data'!Nyomtatási_terület</vt:lpstr>
      <vt:lpstr>'2. LB data'!Nyomtatási_terület</vt:lpstr>
      <vt:lpstr>'3. Supporting stakeholders'!Nyomtatási_terület</vt:lpstr>
      <vt:lpstr>'4. Project summary'!Nyomtatási_terület</vt:lpstr>
      <vt:lpstr>'6. Project Activities'!Nyomtatási_terület</vt:lpstr>
      <vt:lpstr>'7. Indicators'!Nyomtatási_terület</vt:lpstr>
      <vt:lpstr>'8 LB budget'!Nyomtatási_terület</vt:lpstr>
      <vt:lpstr>'8. B1 budget'!Nyomtatási_terület</vt:lpstr>
      <vt:lpstr>'8. B2 budget'!Nyomtatási_terület</vt:lpstr>
      <vt:lpstr>'8. B3 budget'!Nyomtatási_terület</vt:lpstr>
      <vt:lpstr>'8. B4 budget'!Nyomtatási_terület</vt:lpstr>
      <vt:lpstr>'8. B5 budget'!Nyomtatási_terület</vt:lpstr>
      <vt:lpstr>'8. B6 budget'!Nyomtatási_terület</vt:lpstr>
      <vt:lpstr>'8. B7 budget'!Nyomtatási_terület</vt:lpstr>
      <vt:lpstr>'9. Project budget summary'!Nyomtatási_terület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Rendszergazda</dc:creator>
  <cp:lastModifiedBy>User</cp:lastModifiedBy>
  <cp:lastPrinted>2018-03-02T06:54:40Z</cp:lastPrinted>
  <dcterms:created xsi:type="dcterms:W3CDTF">2017-09-26T07:31:32Z</dcterms:created>
  <dcterms:modified xsi:type="dcterms:W3CDTF">2018-12-11T17:56:12Z</dcterms:modified>
</cp:coreProperties>
</file>